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7715" windowHeight="113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'Hoja1'!$A$1:$V$216</definedName>
    <definedName name="_xlnm.Print_Titles" localSheetId="0">'Hoja1'!$6:$6</definedName>
  </definedNames>
  <calcPr fullCalcOnLoad="1"/>
</workbook>
</file>

<file path=xl/sharedStrings.xml><?xml version="1.0" encoding="utf-8"?>
<sst xmlns="http://schemas.openxmlformats.org/spreadsheetml/2006/main" count="325" uniqueCount="213">
  <si>
    <t>VALOR (RD$)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</si>
  <si>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</si>
  <si>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</si>
  <si>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</si>
  <si>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</si>
  <si>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</si>
  <si>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</si>
  <si>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</si>
  <si>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</si>
  <si>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DISPONIBLE</t>
  </si>
  <si>
    <t>ENERO</t>
  </si>
  <si>
    <t>FEBRERO</t>
  </si>
  <si>
    <t>MARZO</t>
  </si>
  <si>
    <t xml:space="preserve">OCTUBRE </t>
  </si>
  <si>
    <t>EJECUTADO</t>
  </si>
  <si>
    <t>REMUNERACIONES Y CONTRIBUCIONES</t>
  </si>
  <si>
    <t>REMUNERACIONES</t>
  </si>
  <si>
    <t>Remuneraciones al personal fijo</t>
  </si>
  <si>
    <t>01</t>
  </si>
  <si>
    <t>Sueldos fijos</t>
  </si>
  <si>
    <t>Remuneraciones al Personal con  Carácter Transitorio</t>
  </si>
  <si>
    <t>Sueldos personal contratato  e igualado</t>
  </si>
  <si>
    <t>02</t>
  </si>
  <si>
    <t>Sueldos de personal nominal</t>
  </si>
  <si>
    <t>03</t>
  </si>
  <si>
    <t>Suplencias</t>
  </si>
  <si>
    <t>04</t>
  </si>
  <si>
    <t>Sueldos al personal por servicios especiales</t>
  </si>
  <si>
    <t>05</t>
  </si>
  <si>
    <t>Sueldo al personal nominal en periodo probatorio</t>
  </si>
  <si>
    <t>Sueldos  al personal fjo en tramite de pensiones</t>
  </si>
  <si>
    <t>Sueldo anual no. 13</t>
  </si>
  <si>
    <t xml:space="preserve">Prestaciones Economicas </t>
  </si>
  <si>
    <t xml:space="preserve"> </t>
  </si>
  <si>
    <t>1</t>
  </si>
  <si>
    <t>SOBRESUELDOS</t>
  </si>
  <si>
    <t>Compensación</t>
  </si>
  <si>
    <t>Compesación por gastos de alimentación</t>
  </si>
  <si>
    <t>Compensacion por horas extraordinarias</t>
  </si>
  <si>
    <t>Prima de transporte</t>
  </si>
  <si>
    <t>Compensación por servicios de seguridad</t>
  </si>
  <si>
    <t>06</t>
  </si>
  <si>
    <t>Compensacion por resultados</t>
  </si>
  <si>
    <t>09</t>
  </si>
  <si>
    <t>Bono por desempeño</t>
  </si>
  <si>
    <t>DIETAS y GASTOS  DE REPRESENTACIÓN</t>
  </si>
  <si>
    <t>Dietas</t>
  </si>
  <si>
    <t>Dietas en el país</t>
  </si>
  <si>
    <t>Dietas en el Exterior</t>
  </si>
  <si>
    <t>Gastos de Representación             *</t>
  </si>
  <si>
    <t>Gastos de Representación en el País</t>
  </si>
  <si>
    <t>GRATIFICACIONES Y BONIFICACIONES</t>
  </si>
  <si>
    <t xml:space="preserve">Bonificaciones </t>
  </si>
  <si>
    <t xml:space="preserve">otras Bonificaciones </t>
  </si>
  <si>
    <t>Bono Escolar</t>
  </si>
  <si>
    <t>CONTRIBUCIONES A LA SEGURIDAD SOCIAL</t>
  </si>
  <si>
    <t>Contribuciones al seguro de salud</t>
  </si>
  <si>
    <t xml:space="preserve">Contribuciones al seguro de pensiones </t>
  </si>
  <si>
    <t>Contribuciones al seguro de riego laboral</t>
  </si>
  <si>
    <t>CONTRATACIÓN DE  DE SERVICIOS</t>
  </si>
  <si>
    <t>SERVICIOS BÁSICOS</t>
  </si>
  <si>
    <t>Servicios de telefónicos de larga distancia</t>
  </si>
  <si>
    <t>Teléfono local</t>
  </si>
  <si>
    <t>Telefax y correos</t>
  </si>
  <si>
    <t>Servicio de internet y televisión por cable</t>
  </si>
  <si>
    <t>Electricidad</t>
  </si>
  <si>
    <t>Energía eléctrica</t>
  </si>
  <si>
    <t>Agua</t>
  </si>
  <si>
    <t xml:space="preserve">Recolección de residuos solidos </t>
  </si>
  <si>
    <t>PUBLICIDAD, IMPRESIÓN Y ENCUADERNACIÓN</t>
  </si>
  <si>
    <t>.01</t>
  </si>
  <si>
    <t>Publicidad y propaganda</t>
  </si>
  <si>
    <t>Impresión y encuadernación</t>
  </si>
  <si>
    <t>VIÁTICOS                 *</t>
  </si>
  <si>
    <t>Viáticos  dentro del país</t>
  </si>
  <si>
    <t>Viáticos Fuera del país</t>
  </si>
  <si>
    <t>TRANSPORTE Y ALMACENAJE   *</t>
  </si>
  <si>
    <t>Pasajes</t>
  </si>
  <si>
    <t>peaje</t>
  </si>
  <si>
    <t>ALQUILERES Y RENTAS</t>
  </si>
  <si>
    <t>Alquileres y rentas de edificios y locales</t>
  </si>
  <si>
    <t>Alquiles de equipos de transporte, tracción y elevación</t>
  </si>
  <si>
    <t>SEGUROS</t>
  </si>
  <si>
    <t>Seguro de bienes inmuebles</t>
  </si>
  <si>
    <t>Seguros de bienes muebles</t>
  </si>
  <si>
    <t xml:space="preserve">Seguros de personas </t>
  </si>
  <si>
    <t>Otros seguros</t>
  </si>
  <si>
    <t>SERVICIOS DE CONSERVACIÓN, REPARACIONES MENORES              *</t>
  </si>
  <si>
    <t>Contratación de obras menores</t>
  </si>
  <si>
    <t>Servicios especiales de mantenimientos y reparación</t>
  </si>
  <si>
    <t>Instalaciones eléctricas</t>
  </si>
  <si>
    <t>07</t>
  </si>
  <si>
    <t xml:space="preserve">Servicios de pintura y derivados con fines de higiene </t>
  </si>
  <si>
    <t>Mantenimiento y reparación de maquinarias y equipos</t>
  </si>
  <si>
    <t>Mantenimientos y reparaciones  de muebles y equipos de oficina</t>
  </si>
  <si>
    <t>Mantenimientos y reparaciones  de equipos para computación</t>
  </si>
  <si>
    <t>Mantenimientos y reparación de equipo de comunicación</t>
  </si>
  <si>
    <t>Matenimiento y reparación de equipos de transporte, tracción y elevación</t>
  </si>
  <si>
    <t xml:space="preserve">OTROS SERVICIOS NO INCLUIDOS </t>
  </si>
  <si>
    <t>Gastos judiciales</t>
  </si>
  <si>
    <t>Comisiones y gastos bancarios</t>
  </si>
  <si>
    <t>Fumigación, lavanderia, limpieza e higiene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</si>
  <si>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</si>
  <si>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</si>
  <si>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</si>
  <si>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</si>
  <si>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</si>
  <si>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</si>
  <si>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Servicios técnicos y profesionales</t>
  </si>
  <si>
    <t>Estudios de ingenierias, arquitectura, investigaciones y análisis de factibilidad    *</t>
  </si>
  <si>
    <t>Servicios jurídicos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</si>
  <si>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</si>
  <si>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</si>
  <si>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</si>
  <si>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</si>
  <si>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</si>
  <si>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Tasas</t>
  </si>
  <si>
    <t>MATERIALES Y SUMINISTROS   *</t>
  </si>
  <si>
    <t>Alimentos y productos agroforestales</t>
  </si>
  <si>
    <t>Alimentos y bebidas para personas</t>
  </si>
  <si>
    <t>Productos agroforestales y pecuarios</t>
  </si>
  <si>
    <t>Productos forestales</t>
  </si>
  <si>
    <t>TEXTILES Y VESTUARIOS</t>
  </si>
  <si>
    <t>,01</t>
  </si>
  <si>
    <t>Acabado textiles</t>
  </si>
  <si>
    <t>Prendas de vestir</t>
  </si>
  <si>
    <t>PRODUCTOS DE CARTÓN E IMPRESOS</t>
  </si>
  <si>
    <t>Papel de escritorio</t>
  </si>
  <si>
    <t xml:space="preserve">Productos de Papel y Cartón </t>
  </si>
  <si>
    <t>Productos de artes gráficas</t>
  </si>
  <si>
    <t>Libros,revistas y periódicos</t>
  </si>
  <si>
    <t>PRODUCTOS FARMACÉUTICOS</t>
  </si>
  <si>
    <t>Productos medicinales para uso humano</t>
  </si>
  <si>
    <t>PRODUCTOS DE CUERO, CAUCHO Y PLASTICO</t>
  </si>
  <si>
    <t>Llantas y neumáticos</t>
  </si>
  <si>
    <t>Artículos de caucho</t>
  </si>
  <si>
    <t>Artículos de plástico</t>
  </si>
  <si>
    <t xml:space="preserve">PRODUCTOS DE MATERIALES METÁLICOS </t>
  </si>
  <si>
    <t>Productos de vidrio, loza y porcelana</t>
  </si>
  <si>
    <t>COMBUSTIBLE, LUBRICANTES, PRODUCTOS                                  *</t>
  </si>
  <si>
    <t>Combustibles y lubricantes</t>
  </si>
  <si>
    <t>Gasolina</t>
  </si>
  <si>
    <t>Gasoil</t>
  </si>
  <si>
    <t>Gas GLP</t>
  </si>
  <si>
    <t>Lubricantes</t>
  </si>
  <si>
    <t>Mantenimiento y reparación de equipo de comunicación</t>
  </si>
  <si>
    <t>pinturss,lacas,y absorventes para pintura</t>
  </si>
  <si>
    <t xml:space="preserve">PRODUCTOS Y UTILES VARIOS </t>
  </si>
  <si>
    <t>Materiales para limpieza</t>
  </si>
  <si>
    <t>Útiles de escritorio, oficina, informática y de enseñanza</t>
  </si>
  <si>
    <t>Útiles destinados a actividades deportivas y recreativas</t>
  </si>
  <si>
    <t>Útiles de cocina y comedor</t>
  </si>
  <si>
    <t>Productos eléctricos y afines</t>
  </si>
  <si>
    <t>Otros respuestos y accssorios menores</t>
  </si>
  <si>
    <t xml:space="preserve">Productos y utiles varios no identificados </t>
  </si>
  <si>
    <t>Productos y utiles varios para activ festivas</t>
  </si>
  <si>
    <t>Bono para actividades festivas</t>
  </si>
  <si>
    <t>TRANSFERENCIAS CORRIENTES</t>
  </si>
  <si>
    <t>TRANSFERENCIAS CORRIENTES AL SECTOR PRIVADO                                *</t>
  </si>
  <si>
    <t xml:space="preserve">Ayudas y Donaciones a Personas </t>
  </si>
  <si>
    <t xml:space="preserve">Ayudas y Donaciones Proramada a Hogares y Personas </t>
  </si>
  <si>
    <t>Ayudas y Donaciones Ocasionales a Hogares y Personas</t>
  </si>
  <si>
    <t>Becas y Viajes de Estudios</t>
  </si>
  <si>
    <t>Becas Nacionales</t>
  </si>
  <si>
    <t>*Becas Extranjeras                      *</t>
  </si>
  <si>
    <t>Transferencia Corrientes a empresas del sector privado</t>
  </si>
  <si>
    <t>Transferencia Corrientes a Asociaciones sin fines de lucro y partidos políticos</t>
  </si>
  <si>
    <t xml:space="preserve">Transferencia Corrientes a Asociaciones sin fines de lucro </t>
  </si>
  <si>
    <t>transferencia para investigación, fomento y desarrollo de la ciencias y la tecnología</t>
  </si>
  <si>
    <t>BIENES MUEBLES, INMUEBLES E INTANGIBLES</t>
  </si>
  <si>
    <t>MOBILIARIO Y EQUIPO</t>
  </si>
  <si>
    <t>Muebles  de oficina y estantería</t>
  </si>
  <si>
    <t>Equipo de Computo</t>
  </si>
  <si>
    <t>Electrodomestico</t>
  </si>
  <si>
    <t>Otros mobiliarios y equipos no identificados</t>
  </si>
  <si>
    <t>MOBILIARIO Y EQUIPO EDUCACIONAL Y RECREATIVO</t>
  </si>
  <si>
    <t>Cámaras fotográficas  de video</t>
  </si>
  <si>
    <t>VEHICULOS Y EQUIPOS DE TRANSPORTE, TRACCION Y ELEVACION</t>
  </si>
  <si>
    <t>Automoviles y Camiones</t>
  </si>
  <si>
    <t>MAQUINARIAS,  OTROS EQUIPOS Y HERRAMIENTAS</t>
  </si>
  <si>
    <t>Sistemas de aire acondicionados, calefacción y refrigeración industrial y comercial</t>
  </si>
  <si>
    <t>Herraqmientas y maquinas-herramientas</t>
  </si>
  <si>
    <t>EQUIPO DE DEFENZA Y SEGURIDAD</t>
  </si>
  <si>
    <t>Equipo de defenza</t>
  </si>
  <si>
    <t>BIENES INTANGIBLES        *</t>
  </si>
  <si>
    <t>Investigación y Dearrollo</t>
  </si>
  <si>
    <t>Programas de informáticas y base de datos</t>
  </si>
  <si>
    <t xml:space="preserve">Programas de  informática </t>
  </si>
  <si>
    <t>Base de datos</t>
  </si>
  <si>
    <t>Estudios de preinversión       *</t>
  </si>
  <si>
    <t>Licencias informáticas e intelectuales</t>
  </si>
  <si>
    <t>Informáticas</t>
  </si>
  <si>
    <t>TOTAL GENERAL</t>
  </si>
  <si>
    <t xml:space="preserve">       Lic. Patria Martínez                                                                                                  Enc. División de Administrativa y Financiera                                                      </t>
  </si>
  <si>
    <t>OBJETAL</t>
  </si>
  <si>
    <t>NOVIMBRE</t>
  </si>
  <si>
    <t>CONSEJO NACIONAL DE INVESTIGACIONES AGROPECUARIAS Y FORESTALES</t>
  </si>
  <si>
    <t>Licencias  Informaticas e Intelectuales</t>
  </si>
  <si>
    <t>Informaticas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</si>
  <si>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</si>
  <si>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equipos </t>
  </si>
  <si>
    <t>Equipo de genracion electrica</t>
  </si>
  <si>
    <t>Prestacion laboral por desvinculacion</t>
  </si>
  <si>
    <t>proporcion de vacaciones no disfrutada</t>
  </si>
  <si>
    <t>Otros alquileres</t>
  </si>
  <si>
    <t>Productos pecuarios</t>
  </si>
  <si>
    <t>productos de cemento, cal.asbesto,yeso y arcilla</t>
  </si>
  <si>
    <t>Equipos y aparatos audiovisuales</t>
  </si>
  <si>
    <t>Obras</t>
  </si>
  <si>
    <t>obras para edificacion no residencial</t>
  </si>
  <si>
    <t>EJECUCION PRESUPUESTARIA MES DE JULIO ,2018</t>
  </si>
  <si>
    <t>rd$</t>
  </si>
  <si>
    <t>RD$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</si>
</sst>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(* #,##0.00_);_(* \(#,##0.00\);_(* &quot;-&quot;??_);_(@_)"/>
    <numFmt numFmtId="166" formatCode="0\3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Verdana"/>
      <family val="2"/>
    </font>
    <font>
      <sz val="8"/>
      <color indexed="40"/>
      <name val="Verdana"/>
      <family val="2"/>
    </font>
    <font>
      <b/>
      <sz val="8"/>
      <color indexed="17"/>
      <name val="Verdana"/>
      <family val="2"/>
    </font>
    <font>
      <b/>
      <sz val="10"/>
      <color indexed="10"/>
      <name val="Verdana"/>
      <family val="2"/>
    </font>
    <font>
      <b/>
      <sz val="8"/>
      <color indexed="8"/>
      <name val="Times New Roman"/>
      <family val="1"/>
    </font>
    <font>
      <sz val="7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50"/>
      <name val="Verdana"/>
      <family val="2"/>
    </font>
    <font>
      <sz val="8"/>
      <color rgb="FF00B0F0"/>
      <name val="Verdana"/>
      <family val="2"/>
    </font>
    <font>
      <b/>
      <sz val="8"/>
      <color rgb="FF00B050"/>
      <name val="Verdana"/>
      <family val="2"/>
    </font>
    <font>
      <b/>
      <sz val="10"/>
      <color rgb="FFFF0000"/>
      <name val="Verdana"/>
      <family val="2"/>
    </font>
    <font>
      <b/>
      <sz val="8"/>
      <color theme="1"/>
      <name val="Times New Roman"/>
      <family val="1"/>
    </font>
    <font>
      <sz val="7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4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47" applyNumberFormat="1" applyFont="1" applyAlignment="1">
      <alignment/>
    </xf>
    <xf numFmtId="165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5" fontId="7" fillId="0" borderId="0" xfId="47" applyNumberFormat="1" applyFont="1" applyAlignment="1">
      <alignment/>
    </xf>
    <xf numFmtId="0" fontId="48" fillId="33" borderId="0" xfId="0" applyFont="1" applyFill="1" applyAlignment="1">
      <alignment/>
    </xf>
    <xf numFmtId="165" fontId="0" fillId="0" borderId="0" xfId="47" applyNumberFormat="1" applyFont="1" applyAlignment="1">
      <alignment/>
    </xf>
    <xf numFmtId="165" fontId="7" fillId="0" borderId="0" xfId="0" applyNumberFormat="1" applyFont="1" applyAlignment="1">
      <alignment/>
    </xf>
    <xf numFmtId="0" fontId="49" fillId="0" borderId="0" xfId="0" applyFont="1" applyAlignment="1">
      <alignment horizontal="left" indent="31"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164" fontId="7" fillId="0" borderId="0" xfId="0" applyNumberFormat="1" applyFont="1" applyAlignment="1">
      <alignment/>
    </xf>
    <xf numFmtId="165" fontId="50" fillId="0" borderId="0" xfId="47" applyNumberFormat="1" applyFont="1" applyAlignment="1">
      <alignment/>
    </xf>
    <xf numFmtId="165" fontId="0" fillId="0" borderId="0" xfId="0" applyNumberFormat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164" fontId="5" fillId="33" borderId="10" xfId="0" applyNumberFormat="1" applyFont="1" applyFill="1" applyBorder="1" applyAlignment="1">
      <alignment wrapText="1"/>
    </xf>
    <xf numFmtId="165" fontId="4" fillId="33" borderId="10" xfId="47" applyNumberFormat="1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65" fontId="5" fillId="33" borderId="10" xfId="47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  <xf numFmtId="0" fontId="5" fillId="33" borderId="19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0" fontId="5" fillId="33" borderId="17" xfId="0" applyFont="1" applyFill="1" applyBorder="1" applyAlignment="1">
      <alignment wrapText="1"/>
    </xf>
    <xf numFmtId="0" fontId="4" fillId="33" borderId="20" xfId="0" applyFont="1" applyFill="1" applyBorder="1" applyAlignment="1">
      <alignment wrapText="1"/>
    </xf>
    <xf numFmtId="0" fontId="4" fillId="33" borderId="21" xfId="0" applyFont="1" applyFill="1" applyBorder="1" applyAlignment="1">
      <alignment wrapText="1"/>
    </xf>
    <xf numFmtId="0" fontId="4" fillId="33" borderId="22" xfId="0" applyFont="1" applyFill="1" applyBorder="1" applyAlignment="1">
      <alignment wrapText="1"/>
    </xf>
    <xf numFmtId="0" fontId="5" fillId="33" borderId="20" xfId="0" applyFont="1" applyFill="1" applyBorder="1" applyAlignment="1">
      <alignment wrapText="1"/>
    </xf>
    <xf numFmtId="0" fontId="5" fillId="33" borderId="21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wrapText="1"/>
    </xf>
    <xf numFmtId="0" fontId="5" fillId="33" borderId="24" xfId="0" applyFont="1" applyFill="1" applyBorder="1" applyAlignment="1">
      <alignment wrapText="1"/>
    </xf>
    <xf numFmtId="164" fontId="4" fillId="33" borderId="0" xfId="0" applyNumberFormat="1" applyFont="1" applyFill="1" applyBorder="1" applyAlignment="1">
      <alignment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1" fontId="4" fillId="33" borderId="27" xfId="0" applyNumberFormat="1" applyFont="1" applyFill="1" applyBorder="1" applyAlignment="1">
      <alignment horizontal="center" vertical="center" wrapText="1"/>
    </xf>
    <xf numFmtId="166" fontId="5" fillId="33" borderId="30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/>
    </xf>
    <xf numFmtId="165" fontId="8" fillId="33" borderId="0" xfId="0" applyNumberFormat="1" applyFont="1" applyFill="1" applyAlignment="1">
      <alignment/>
    </xf>
    <xf numFmtId="164" fontId="8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5" fontId="51" fillId="33" borderId="10" xfId="47" applyNumberFormat="1" applyFont="1" applyFill="1" applyBorder="1" applyAlignment="1">
      <alignment wrapText="1"/>
    </xf>
    <xf numFmtId="1" fontId="4" fillId="33" borderId="26" xfId="0" applyNumberFormat="1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wrapText="1"/>
    </xf>
    <xf numFmtId="164" fontId="4" fillId="33" borderId="32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center" wrapText="1"/>
    </xf>
    <xf numFmtId="164" fontId="52" fillId="33" borderId="0" xfId="0" applyNumberFormat="1" applyFont="1" applyFill="1" applyAlignment="1">
      <alignment/>
    </xf>
    <xf numFmtId="164" fontId="31" fillId="33" borderId="0" xfId="0" applyNumberFormat="1" applyFont="1" applyFill="1" applyAlignment="1">
      <alignment/>
    </xf>
    <xf numFmtId="0" fontId="31" fillId="33" borderId="0" xfId="0" applyFont="1" applyFill="1" applyAlignment="1">
      <alignment/>
    </xf>
    <xf numFmtId="164" fontId="4" fillId="33" borderId="10" xfId="47" applyFont="1" applyFill="1" applyBorder="1" applyAlignment="1">
      <alignment wrapText="1"/>
    </xf>
    <xf numFmtId="0" fontId="0" fillId="0" borderId="0" xfId="0" applyAlignment="1">
      <alignment/>
    </xf>
    <xf numFmtId="164" fontId="5" fillId="33" borderId="32" xfId="0" applyNumberFormat="1" applyFont="1" applyFill="1" applyBorder="1" applyAlignment="1">
      <alignment wrapText="1"/>
    </xf>
    <xf numFmtId="164" fontId="5" fillId="33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165" fontId="5" fillId="33" borderId="32" xfId="47" applyNumberFormat="1" applyFont="1" applyFill="1" applyBorder="1" applyAlignment="1">
      <alignment wrapText="1"/>
    </xf>
    <xf numFmtId="165" fontId="0" fillId="0" borderId="0" xfId="47" applyNumberFormat="1" applyFont="1" applyAlignment="1">
      <alignment/>
    </xf>
    <xf numFmtId="9" fontId="0" fillId="0" borderId="0" xfId="0" applyNumberFormat="1" applyAlignment="1">
      <alignment/>
    </xf>
    <xf numFmtId="9" fontId="46" fillId="0" borderId="0" xfId="53" applyFont="1" applyAlignment="1">
      <alignment/>
    </xf>
    <xf numFmtId="9" fontId="0" fillId="0" borderId="0" xfId="53" applyFont="1" applyAlignment="1">
      <alignment/>
    </xf>
    <xf numFmtId="9" fontId="0" fillId="0" borderId="0" xfId="53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3" fontId="47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9" fontId="0" fillId="0" borderId="0" xfId="53" applyFont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3" fillId="34" borderId="23" xfId="0" applyFont="1" applyFill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 vertical="center" wrapText="1"/>
    </xf>
    <xf numFmtId="0" fontId="46" fillId="34" borderId="31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165" fontId="4" fillId="34" borderId="34" xfId="47" applyNumberFormat="1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733425</xdr:colOff>
      <xdr:row>0</xdr:row>
      <xdr:rowOff>114300</xdr:rowOff>
    </xdr:from>
    <xdr:to>
      <xdr:col>8</xdr:col>
      <xdr:colOff>66675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14300"/>
          <a:ext cx="3000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7"/>
  <sheetViews>
    <sheetView tabSelected="1" zoomScalePageLayoutView="0" workbookViewId="0" topLeftCell="A76">
      <selection activeCell="A218" sqref="A218"/>
    </sheetView>
  </sheetViews>
  <sheetFormatPr defaultColWidth="11.421875" defaultRowHeight="15"/>
  <cols>
    <col min="1" max="1" width="1.7109375" style="0" customWidth="1"/>
    <col min="2" max="2" width="1.8515625" style="0" customWidth="1"/>
    <col min="3" max="3" width="2.421875" style="0" customWidth="1"/>
    <col min="4" max="4" width="2.8515625" style="0" customWidth="1"/>
    <col min="5" max="5" width="3.00390625" style="68" customWidth="1"/>
    <col min="6" max="6" width="32.57421875" style="0" customWidth="1"/>
    <col min="7" max="7" width="11.7109375" style="0" customWidth="1"/>
    <col min="8" max="8" width="10.7109375" style="0" customWidth="1"/>
    <col min="9" max="10" width="10.57421875" style="0" customWidth="1"/>
    <col min="11" max="11" width="10.7109375" style="0" customWidth="1"/>
    <col min="12" max="12" width="11.140625" style="0" customWidth="1"/>
    <col min="13" max="13" width="10.57421875" style="0" customWidth="1"/>
    <col min="14" max="14" width="10.7109375" style="0" customWidth="1"/>
    <col min="15" max="15" width="9.57421875" style="0" customWidth="1"/>
    <col min="16" max="16" width="9.28125" style="0" customWidth="1"/>
    <col min="17" max="17" width="9.421875" style="0" customWidth="1"/>
    <col min="18" max="18" width="11.421875" style="0" hidden="1" customWidth="1"/>
    <col min="19" max="19" width="9.421875" style="0" customWidth="1"/>
    <col min="20" max="20" width="9.421875" style="72" customWidth="1"/>
    <col min="21" max="21" width="12.140625" style="0" customWidth="1"/>
    <col min="22" max="22" width="11.7109375" style="0" customWidth="1"/>
  </cols>
  <sheetData>
    <row r="1" s="96" customFormat="1" ht="15">
      <c r="E1" s="68"/>
    </row>
    <row r="2" s="96" customFormat="1" ht="15">
      <c r="E2" s="68"/>
    </row>
    <row r="3" spans="5:22" s="73" customFormat="1" ht="15">
      <c r="E3" s="68"/>
      <c r="F3" s="102" t="s">
        <v>196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5:22" s="96" customFormat="1" ht="15">
      <c r="E4" s="68"/>
      <c r="F4" s="102" t="s">
        <v>210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5:22" s="73" customFormat="1" ht="15.75" thickBot="1">
      <c r="E5" s="68"/>
      <c r="F5" s="103" t="s">
        <v>212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</row>
    <row r="6" spans="1:22" ht="26.25" thickBot="1">
      <c r="A6" s="104" t="s">
        <v>194</v>
      </c>
      <c r="B6" s="105"/>
      <c r="C6" s="105"/>
      <c r="D6" s="105"/>
      <c r="E6" s="106"/>
      <c r="F6" s="107" t="s">
        <v>211</v>
      </c>
      <c r="G6" s="108" t="s">
        <v>0</v>
      </c>
      <c r="H6" s="109" t="s">
        <v>10</v>
      </c>
      <c r="I6" s="109" t="s">
        <v>11</v>
      </c>
      <c r="J6" s="109" t="s">
        <v>12</v>
      </c>
      <c r="K6" s="109" t="s">
        <v>1</v>
      </c>
      <c r="L6" s="109" t="s">
        <v>2</v>
      </c>
      <c r="M6" s="109" t="s">
        <v>3</v>
      </c>
      <c r="N6" s="109" t="s">
        <v>4</v>
      </c>
      <c r="O6" s="109" t="s">
        <v>5</v>
      </c>
      <c r="P6" s="109" t="s">
        <v>6</v>
      </c>
      <c r="Q6" s="109" t="s">
        <v>13</v>
      </c>
      <c r="R6" s="109" t="s">
        <v>7</v>
      </c>
      <c r="S6" s="109" t="s">
        <v>195</v>
      </c>
      <c r="T6" s="109" t="s">
        <v>8</v>
      </c>
      <c r="U6" s="109" t="s">
        <v>14</v>
      </c>
      <c r="V6" s="110" t="s">
        <v>9</v>
      </c>
    </row>
    <row r="7" spans="1:23" ht="23.25" thickBot="1">
      <c r="A7" s="21">
        <v>2</v>
      </c>
      <c r="B7" s="22">
        <v>1</v>
      </c>
      <c r="C7" s="22"/>
      <c r="D7" s="22"/>
      <c r="E7" s="51"/>
      <c r="F7" s="78" t="s">
        <v>15</v>
      </c>
      <c r="G7" s="26">
        <f aca="true" t="shared" si="0" ref="G7:Q7">G8+G23+G32+G39+G43</f>
        <v>36939631</v>
      </c>
      <c r="H7" s="26">
        <f t="shared" si="0"/>
        <v>2613820.8499999996</v>
      </c>
      <c r="I7" s="26">
        <f t="shared" si="0"/>
        <v>73517</v>
      </c>
      <c r="J7" s="26">
        <f t="shared" si="0"/>
        <v>5248098.649999999</v>
      </c>
      <c r="K7" s="26">
        <f t="shared" si="0"/>
        <v>3235714.23</v>
      </c>
      <c r="L7" s="26">
        <f t="shared" si="0"/>
        <v>2782543.13</v>
      </c>
      <c r="M7" s="26">
        <f t="shared" si="0"/>
        <v>2759893.13</v>
      </c>
      <c r="N7" s="26">
        <f t="shared" si="0"/>
        <v>3621401.03</v>
      </c>
      <c r="O7" s="26">
        <f t="shared" si="0"/>
        <v>0</v>
      </c>
      <c r="P7" s="26">
        <f t="shared" si="0"/>
        <v>0</v>
      </c>
      <c r="Q7" s="26">
        <f t="shared" si="0"/>
        <v>0</v>
      </c>
      <c r="R7" s="26"/>
      <c r="S7" s="26"/>
      <c r="T7" s="26"/>
      <c r="U7" s="26">
        <f>U8+U23+U32+U39+U43</f>
        <v>20334988.019999996</v>
      </c>
      <c r="V7" s="26">
        <f aca="true" t="shared" si="1" ref="V7:V30">G7-U7</f>
        <v>16604642.980000004</v>
      </c>
      <c r="W7" s="101" t="s">
        <v>33</v>
      </c>
    </row>
    <row r="8" spans="1:22" ht="15">
      <c r="A8" s="27">
        <v>2</v>
      </c>
      <c r="B8" s="1">
        <v>1</v>
      </c>
      <c r="C8" s="1">
        <v>1</v>
      </c>
      <c r="D8" s="1"/>
      <c r="E8" s="52"/>
      <c r="F8" s="1" t="s">
        <v>16</v>
      </c>
      <c r="G8" s="26">
        <f aca="true" t="shared" si="2" ref="G8:Q8">G9+G11+G17+G18+G19</f>
        <v>31594120</v>
      </c>
      <c r="H8" s="26">
        <f t="shared" si="2"/>
        <v>2275379.36</v>
      </c>
      <c r="I8" s="26">
        <f t="shared" si="2"/>
        <v>30000</v>
      </c>
      <c r="J8" s="26">
        <f t="shared" si="2"/>
        <v>4522438.72</v>
      </c>
      <c r="K8" s="26">
        <f t="shared" si="2"/>
        <v>2842725.9</v>
      </c>
      <c r="L8" s="26">
        <f t="shared" si="2"/>
        <v>2380619.36</v>
      </c>
      <c r="M8" s="26">
        <f t="shared" si="2"/>
        <v>2380619.36</v>
      </c>
      <c r="N8" s="26">
        <f t="shared" si="2"/>
        <v>2380619.36</v>
      </c>
      <c r="O8" s="26">
        <f t="shared" si="2"/>
        <v>0</v>
      </c>
      <c r="P8" s="26">
        <f t="shared" si="2"/>
        <v>0</v>
      </c>
      <c r="Q8" s="26">
        <f t="shared" si="2"/>
        <v>0</v>
      </c>
      <c r="R8" s="26"/>
      <c r="S8" s="26"/>
      <c r="T8" s="26"/>
      <c r="U8" s="26">
        <f>U9+U11+U17+U18+U19</f>
        <v>16812402.06</v>
      </c>
      <c r="V8" s="26">
        <f t="shared" si="1"/>
        <v>14781717.940000001</v>
      </c>
    </row>
    <row r="9" spans="1:22" ht="15">
      <c r="A9" s="27">
        <v>2</v>
      </c>
      <c r="B9" s="1">
        <v>1</v>
      </c>
      <c r="C9" s="1">
        <v>1</v>
      </c>
      <c r="D9" s="1">
        <v>1</v>
      </c>
      <c r="E9" s="52"/>
      <c r="F9" s="1" t="s">
        <v>17</v>
      </c>
      <c r="G9" s="26">
        <f>G10</f>
        <v>28464120</v>
      </c>
      <c r="H9" s="26">
        <f aca="true" t="shared" si="3" ref="H9:U9">H10</f>
        <v>2088668.2</v>
      </c>
      <c r="I9" s="26">
        <f t="shared" si="3"/>
        <v>0</v>
      </c>
      <c r="J9" s="26">
        <f t="shared" si="3"/>
        <v>4441238.72</v>
      </c>
      <c r="K9" s="26">
        <f t="shared" si="3"/>
        <v>2640619.36</v>
      </c>
      <c r="L9" s="26">
        <f t="shared" si="3"/>
        <v>2380619.36</v>
      </c>
      <c r="M9" s="26">
        <f t="shared" si="3"/>
        <v>2380619.36</v>
      </c>
      <c r="N9" s="26">
        <f t="shared" si="3"/>
        <v>2380619.36</v>
      </c>
      <c r="O9" s="26">
        <f t="shared" si="3"/>
        <v>0</v>
      </c>
      <c r="P9" s="26">
        <f t="shared" si="3"/>
        <v>0</v>
      </c>
      <c r="Q9" s="26">
        <f t="shared" si="3"/>
        <v>0</v>
      </c>
      <c r="R9" s="26"/>
      <c r="S9" s="26"/>
      <c r="T9" s="26"/>
      <c r="U9" s="26">
        <f t="shared" si="3"/>
        <v>16312384.359999998</v>
      </c>
      <c r="V9" s="26">
        <f t="shared" si="1"/>
        <v>12151735.640000002</v>
      </c>
    </row>
    <row r="10" spans="1:23" ht="15">
      <c r="A10" s="28">
        <v>2</v>
      </c>
      <c r="B10" s="29">
        <v>1</v>
      </c>
      <c r="C10" s="29">
        <v>1</v>
      </c>
      <c r="D10" s="29">
        <v>1</v>
      </c>
      <c r="E10" s="53" t="s">
        <v>18</v>
      </c>
      <c r="F10" s="29" t="s">
        <v>19</v>
      </c>
      <c r="G10" s="30">
        <v>28464120</v>
      </c>
      <c r="H10" s="30">
        <v>2088668.2</v>
      </c>
      <c r="I10" s="30">
        <v>0</v>
      </c>
      <c r="J10" s="30">
        <f>2220619.36+2220619.36</f>
        <v>4441238.72</v>
      </c>
      <c r="K10" s="25">
        <f>130000+2380619.36+130000</f>
        <v>2640619.36</v>
      </c>
      <c r="L10" s="25">
        <v>2380619.36</v>
      </c>
      <c r="M10" s="25">
        <v>2380619.36</v>
      </c>
      <c r="N10" s="25">
        <v>2380619.36</v>
      </c>
      <c r="O10" s="25">
        <v>0</v>
      </c>
      <c r="P10" s="25">
        <v>0</v>
      </c>
      <c r="Q10" s="25">
        <v>0</v>
      </c>
      <c r="R10" s="25"/>
      <c r="S10" s="25"/>
      <c r="T10" s="25"/>
      <c r="U10" s="30">
        <f>+H10+I10+J10+K10+L10+M10+N10+O10+P10+Q10+S10+T10</f>
        <v>16312384.359999998</v>
      </c>
      <c r="V10" s="26">
        <f t="shared" si="1"/>
        <v>12151735.640000002</v>
      </c>
      <c r="W10" s="101" t="s">
        <v>33</v>
      </c>
    </row>
    <row r="11" spans="1:22" ht="22.5">
      <c r="A11" s="27">
        <v>2</v>
      </c>
      <c r="B11" s="1">
        <v>1</v>
      </c>
      <c r="C11" s="1">
        <v>1</v>
      </c>
      <c r="D11" s="1">
        <v>2</v>
      </c>
      <c r="E11" s="52"/>
      <c r="F11" s="78" t="s">
        <v>20</v>
      </c>
      <c r="G11" s="26">
        <f>G12+G13+G14+G15+G16</f>
        <v>850000</v>
      </c>
      <c r="H11" s="26">
        <f>H12+H13+H14+H15+H16</f>
        <v>186711.16</v>
      </c>
      <c r="I11" s="84">
        <f>+I12+I13+I14+I15+I16</f>
        <v>30000</v>
      </c>
      <c r="J11" s="26">
        <f>J12+J13+J14+J15+J16</f>
        <v>81200</v>
      </c>
      <c r="K11" s="26">
        <f aca="true" t="shared" si="4" ref="K11:Q11">K12+K13+K14+K15+K16</f>
        <v>25600</v>
      </c>
      <c r="L11" s="26">
        <f t="shared" si="4"/>
        <v>0</v>
      </c>
      <c r="M11" s="26">
        <f t="shared" si="4"/>
        <v>0</v>
      </c>
      <c r="N11" s="26">
        <f t="shared" si="4"/>
        <v>0</v>
      </c>
      <c r="O11" s="26">
        <f t="shared" si="4"/>
        <v>0</v>
      </c>
      <c r="P11" s="26">
        <f t="shared" si="4"/>
        <v>0</v>
      </c>
      <c r="Q11" s="26">
        <f t="shared" si="4"/>
        <v>0</v>
      </c>
      <c r="R11" s="26">
        <f>SUM(H11:I11)</f>
        <v>216711.16</v>
      </c>
      <c r="S11" s="26"/>
      <c r="T11" s="26"/>
      <c r="U11" s="26">
        <f>U12+U13+U14+U15+U16</f>
        <v>323511.16000000003</v>
      </c>
      <c r="V11" s="26">
        <f t="shared" si="1"/>
        <v>526488.84</v>
      </c>
    </row>
    <row r="12" spans="1:22" ht="15">
      <c r="A12" s="28">
        <v>2</v>
      </c>
      <c r="B12" s="29">
        <v>1</v>
      </c>
      <c r="C12" s="29">
        <v>1</v>
      </c>
      <c r="D12" s="29">
        <v>2</v>
      </c>
      <c r="E12" s="53" t="s">
        <v>18</v>
      </c>
      <c r="F12" s="79" t="s">
        <v>21</v>
      </c>
      <c r="G12" s="30">
        <v>400000</v>
      </c>
      <c r="H12" s="30">
        <v>24760</v>
      </c>
      <c r="I12" s="30">
        <v>0</v>
      </c>
      <c r="J12" s="30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/>
      <c r="S12" s="25"/>
      <c r="T12" s="25"/>
      <c r="U12" s="30">
        <f aca="true" t="shared" si="5" ref="U12:U18">+H12+I12+J12+K12+L12+M12+N12+O12+P12+Q12+R12+S12</f>
        <v>24760</v>
      </c>
      <c r="V12" s="26">
        <f t="shared" si="1"/>
        <v>375240</v>
      </c>
    </row>
    <row r="13" spans="1:22" ht="15">
      <c r="A13" s="28">
        <v>2</v>
      </c>
      <c r="B13" s="29">
        <v>1</v>
      </c>
      <c r="C13" s="29">
        <v>1</v>
      </c>
      <c r="D13" s="29">
        <v>2</v>
      </c>
      <c r="E13" s="53" t="s">
        <v>22</v>
      </c>
      <c r="F13" s="79" t="s">
        <v>23</v>
      </c>
      <c r="G13" s="30">
        <v>0</v>
      </c>
      <c r="H13" s="30"/>
      <c r="I13" s="30"/>
      <c r="J13" s="30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30">
        <f t="shared" si="5"/>
        <v>0</v>
      </c>
      <c r="V13" s="26">
        <f t="shared" si="1"/>
        <v>0</v>
      </c>
    </row>
    <row r="14" spans="1:22" ht="15">
      <c r="A14" s="28">
        <v>2</v>
      </c>
      <c r="B14" s="29">
        <v>1</v>
      </c>
      <c r="C14" s="29">
        <v>1</v>
      </c>
      <c r="D14" s="29">
        <v>2</v>
      </c>
      <c r="E14" s="53" t="s">
        <v>24</v>
      </c>
      <c r="F14" s="79" t="s">
        <v>25</v>
      </c>
      <c r="G14" s="30">
        <v>150000</v>
      </c>
      <c r="H14" s="30">
        <v>0</v>
      </c>
      <c r="I14" s="30">
        <v>0</v>
      </c>
      <c r="J14" s="30">
        <f>25600+25600</f>
        <v>51200</v>
      </c>
      <c r="K14" s="25">
        <v>25600</v>
      </c>
      <c r="L14" s="25"/>
      <c r="M14" s="25"/>
      <c r="N14" s="25"/>
      <c r="O14" s="25"/>
      <c r="P14" s="25"/>
      <c r="Q14" s="25"/>
      <c r="R14" s="25"/>
      <c r="S14" s="25"/>
      <c r="T14" s="25"/>
      <c r="U14" s="30">
        <f t="shared" si="5"/>
        <v>76800</v>
      </c>
      <c r="V14" s="26">
        <f t="shared" si="1"/>
        <v>73200</v>
      </c>
    </row>
    <row r="15" spans="1:22" ht="15">
      <c r="A15" s="28">
        <v>2</v>
      </c>
      <c r="B15" s="29">
        <v>1</v>
      </c>
      <c r="C15" s="29">
        <v>1</v>
      </c>
      <c r="D15" s="29">
        <v>2</v>
      </c>
      <c r="E15" s="53" t="s">
        <v>26</v>
      </c>
      <c r="F15" s="29" t="s">
        <v>27</v>
      </c>
      <c r="G15" s="30">
        <v>0</v>
      </c>
      <c r="H15" s="30"/>
      <c r="I15" s="30">
        <v>0</v>
      </c>
      <c r="J15" s="30"/>
      <c r="K15" s="25">
        <v>0</v>
      </c>
      <c r="L15" s="25"/>
      <c r="M15" s="25"/>
      <c r="N15" s="25"/>
      <c r="O15" s="25"/>
      <c r="P15" s="25"/>
      <c r="Q15" s="25"/>
      <c r="R15" s="25"/>
      <c r="S15" s="25"/>
      <c r="T15" s="25"/>
      <c r="U15" s="30">
        <f t="shared" si="5"/>
        <v>0</v>
      </c>
      <c r="V15" s="26">
        <f t="shared" si="1"/>
        <v>0</v>
      </c>
    </row>
    <row r="16" spans="1:22" ht="23.25">
      <c r="A16" s="28">
        <v>2</v>
      </c>
      <c r="B16" s="29">
        <v>1</v>
      </c>
      <c r="C16" s="29">
        <v>1</v>
      </c>
      <c r="D16" s="29">
        <v>2</v>
      </c>
      <c r="E16" s="53" t="s">
        <v>28</v>
      </c>
      <c r="F16" s="29" t="s">
        <v>29</v>
      </c>
      <c r="G16" s="30">
        <v>300000</v>
      </c>
      <c r="H16" s="30">
        <v>161951.16</v>
      </c>
      <c r="I16" s="30">
        <v>30000</v>
      </c>
      <c r="J16" s="30">
        <v>30000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/>
      <c r="S16" s="25"/>
      <c r="T16" s="25"/>
      <c r="U16" s="30">
        <f t="shared" si="5"/>
        <v>221951.16</v>
      </c>
      <c r="V16" s="26">
        <f t="shared" si="1"/>
        <v>78048.84</v>
      </c>
    </row>
    <row r="17" spans="1:22" ht="22.5">
      <c r="A17" s="27">
        <v>2</v>
      </c>
      <c r="B17" s="1">
        <v>1</v>
      </c>
      <c r="C17" s="1">
        <v>1</v>
      </c>
      <c r="D17" s="1">
        <v>3</v>
      </c>
      <c r="E17" s="52"/>
      <c r="F17" s="1" t="s">
        <v>30</v>
      </c>
      <c r="G17" s="26">
        <v>0</v>
      </c>
      <c r="H17" s="26"/>
      <c r="I17" s="26"/>
      <c r="J17" s="26"/>
      <c r="K17" s="25">
        <v>0</v>
      </c>
      <c r="L17" s="25"/>
      <c r="M17" s="25"/>
      <c r="N17" s="25"/>
      <c r="O17" s="25"/>
      <c r="P17" s="25"/>
      <c r="Q17" s="25"/>
      <c r="R17" s="25"/>
      <c r="S17" s="25"/>
      <c r="T17" s="25"/>
      <c r="U17" s="30">
        <f t="shared" si="5"/>
        <v>0</v>
      </c>
      <c r="V17" s="26">
        <f t="shared" si="1"/>
        <v>0</v>
      </c>
    </row>
    <row r="18" spans="1:22" ht="15">
      <c r="A18" s="27">
        <v>2</v>
      </c>
      <c r="B18" s="1">
        <v>1</v>
      </c>
      <c r="C18" s="1">
        <v>1</v>
      </c>
      <c r="D18" s="1">
        <v>4</v>
      </c>
      <c r="E18" s="52"/>
      <c r="F18" s="1" t="s">
        <v>31</v>
      </c>
      <c r="G18" s="26">
        <v>2280000</v>
      </c>
      <c r="H18" s="26">
        <v>0</v>
      </c>
      <c r="I18" s="26">
        <v>0</v>
      </c>
      <c r="J18" s="26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31"/>
      <c r="S18" s="31"/>
      <c r="T18" s="31"/>
      <c r="U18" s="30">
        <f t="shared" si="5"/>
        <v>0</v>
      </c>
      <c r="V18" s="26">
        <f t="shared" si="1"/>
        <v>2280000</v>
      </c>
    </row>
    <row r="19" spans="1:22" ht="15">
      <c r="A19" s="27">
        <v>2</v>
      </c>
      <c r="B19" s="1">
        <v>1</v>
      </c>
      <c r="C19" s="1">
        <v>1</v>
      </c>
      <c r="D19" s="1">
        <v>5</v>
      </c>
      <c r="E19" s="52"/>
      <c r="F19" s="1" t="s">
        <v>32</v>
      </c>
      <c r="G19" s="26">
        <f>+G20</f>
        <v>0</v>
      </c>
      <c r="H19" s="26">
        <f aca="true" t="shared" si="6" ref="H19:Q19">+H20</f>
        <v>0</v>
      </c>
      <c r="I19" s="26">
        <f t="shared" si="6"/>
        <v>0</v>
      </c>
      <c r="J19" s="26">
        <f t="shared" si="6"/>
        <v>0</v>
      </c>
      <c r="K19" s="26">
        <f>+K21+K22</f>
        <v>176506.54</v>
      </c>
      <c r="L19" s="26">
        <f t="shared" si="6"/>
        <v>0</v>
      </c>
      <c r="M19" s="26">
        <f t="shared" si="6"/>
        <v>0</v>
      </c>
      <c r="N19" s="26">
        <f t="shared" si="6"/>
        <v>0</v>
      </c>
      <c r="O19" s="26">
        <f t="shared" si="6"/>
        <v>0</v>
      </c>
      <c r="P19" s="26">
        <f t="shared" si="6"/>
        <v>0</v>
      </c>
      <c r="Q19" s="26">
        <f t="shared" si="6"/>
        <v>0</v>
      </c>
      <c r="R19" s="26"/>
      <c r="S19" s="26"/>
      <c r="T19" s="26"/>
      <c r="U19" s="26">
        <f>+K19</f>
        <v>176506.54</v>
      </c>
      <c r="V19" s="26">
        <f t="shared" si="1"/>
        <v>-176506.54</v>
      </c>
    </row>
    <row r="20" spans="1:22" ht="15">
      <c r="A20" s="28">
        <v>2</v>
      </c>
      <c r="B20" s="29">
        <v>1</v>
      </c>
      <c r="C20" s="29">
        <v>1</v>
      </c>
      <c r="D20" s="29">
        <v>5</v>
      </c>
      <c r="E20" s="53" t="s">
        <v>34</v>
      </c>
      <c r="F20" s="29" t="s">
        <v>32</v>
      </c>
      <c r="G20" s="30">
        <v>0</v>
      </c>
      <c r="H20" s="30"/>
      <c r="I20" s="30"/>
      <c r="J20" s="30"/>
      <c r="K20" s="25"/>
      <c r="L20" s="25"/>
      <c r="M20" s="25"/>
      <c r="N20" s="25"/>
      <c r="O20" s="25">
        <v>0</v>
      </c>
      <c r="P20" s="25"/>
      <c r="Q20" s="25"/>
      <c r="R20" s="25"/>
      <c r="S20" s="25"/>
      <c r="T20" s="25"/>
      <c r="U20" s="30">
        <f>+H20+I20+J20+K20+L20+M20+N20+O20+P20+Q20+R20+S20</f>
        <v>0</v>
      </c>
      <c r="V20" s="26">
        <f t="shared" si="1"/>
        <v>0</v>
      </c>
    </row>
    <row r="21" spans="1:22" s="85" customFormat="1" ht="15">
      <c r="A21" s="28">
        <v>2</v>
      </c>
      <c r="B21" s="29">
        <v>1</v>
      </c>
      <c r="C21" s="29">
        <v>1</v>
      </c>
      <c r="D21" s="29">
        <v>5</v>
      </c>
      <c r="E21" s="53" t="s">
        <v>24</v>
      </c>
      <c r="F21" s="29" t="s">
        <v>202</v>
      </c>
      <c r="G21" s="30"/>
      <c r="H21" s="30"/>
      <c r="I21" s="30"/>
      <c r="J21" s="30"/>
      <c r="K21" s="25">
        <v>162795.42</v>
      </c>
      <c r="L21" s="25"/>
      <c r="M21" s="25"/>
      <c r="N21" s="25"/>
      <c r="O21" s="25"/>
      <c r="P21" s="25"/>
      <c r="Q21" s="25"/>
      <c r="R21" s="25"/>
      <c r="S21" s="25"/>
      <c r="T21" s="25"/>
      <c r="U21" s="30">
        <f>+K21</f>
        <v>162795.42</v>
      </c>
      <c r="V21" s="26">
        <f t="shared" si="1"/>
        <v>-162795.42</v>
      </c>
    </row>
    <row r="22" spans="1:22" s="85" customFormat="1" ht="15">
      <c r="A22" s="28">
        <v>2</v>
      </c>
      <c r="B22" s="29">
        <v>1</v>
      </c>
      <c r="C22" s="29">
        <v>1</v>
      </c>
      <c r="D22" s="29">
        <v>5</v>
      </c>
      <c r="E22" s="53" t="s">
        <v>26</v>
      </c>
      <c r="F22" s="29" t="s">
        <v>203</v>
      </c>
      <c r="G22" s="30"/>
      <c r="H22" s="30"/>
      <c r="I22" s="30"/>
      <c r="J22" s="30"/>
      <c r="K22" s="25">
        <v>13711.12</v>
      </c>
      <c r="L22" s="25"/>
      <c r="M22" s="25"/>
      <c r="N22" s="25"/>
      <c r="O22" s="25"/>
      <c r="P22" s="25"/>
      <c r="Q22" s="25"/>
      <c r="R22" s="25"/>
      <c r="S22" s="25"/>
      <c r="T22" s="25"/>
      <c r="U22" s="30">
        <f>+K22</f>
        <v>13711.12</v>
      </c>
      <c r="V22" s="26">
        <f t="shared" si="1"/>
        <v>-13711.12</v>
      </c>
    </row>
    <row r="23" spans="1:22" ht="15">
      <c r="A23" s="27">
        <v>2</v>
      </c>
      <c r="B23" s="1">
        <v>1</v>
      </c>
      <c r="C23" s="1">
        <v>2</v>
      </c>
      <c r="D23" s="29"/>
      <c r="E23" s="54"/>
      <c r="F23" s="1" t="s">
        <v>35</v>
      </c>
      <c r="G23" s="26">
        <f>+G24</f>
        <v>1061510</v>
      </c>
      <c r="H23" s="26">
        <f aca="true" t="shared" si="7" ref="H23:U23">+H24</f>
        <v>16250</v>
      </c>
      <c r="I23" s="26">
        <f t="shared" si="7"/>
        <v>16250</v>
      </c>
      <c r="J23" s="26">
        <f t="shared" si="7"/>
        <v>16250</v>
      </c>
      <c r="K23" s="26">
        <f t="shared" si="7"/>
        <v>16250</v>
      </c>
      <c r="L23" s="26">
        <f t="shared" si="7"/>
        <v>16250</v>
      </c>
      <c r="M23" s="26">
        <f t="shared" si="7"/>
        <v>16250</v>
      </c>
      <c r="N23" s="26">
        <f t="shared" si="7"/>
        <v>877757.9</v>
      </c>
      <c r="O23" s="26">
        <f t="shared" si="7"/>
        <v>0</v>
      </c>
      <c r="P23" s="26">
        <f t="shared" si="7"/>
        <v>0</v>
      </c>
      <c r="Q23" s="26">
        <f t="shared" si="7"/>
        <v>0</v>
      </c>
      <c r="R23" s="26">
        <f t="shared" si="7"/>
        <v>0</v>
      </c>
      <c r="S23" s="26">
        <f t="shared" si="7"/>
        <v>0</v>
      </c>
      <c r="T23" s="26"/>
      <c r="U23" s="26">
        <f t="shared" si="7"/>
        <v>975257.9</v>
      </c>
      <c r="V23" s="26">
        <f t="shared" si="1"/>
        <v>86252.09999999998</v>
      </c>
    </row>
    <row r="24" spans="1:22" ht="15">
      <c r="A24" s="27">
        <v>2</v>
      </c>
      <c r="B24" s="1">
        <v>1</v>
      </c>
      <c r="C24" s="1">
        <v>2</v>
      </c>
      <c r="D24" s="1">
        <v>2</v>
      </c>
      <c r="E24" s="52"/>
      <c r="F24" s="1" t="s">
        <v>36</v>
      </c>
      <c r="G24" s="26">
        <f aca="true" t="shared" si="8" ref="G24:Q24">SUM(G25:G30)</f>
        <v>1061510</v>
      </c>
      <c r="H24" s="26">
        <f t="shared" si="8"/>
        <v>16250</v>
      </c>
      <c r="I24" s="26">
        <f t="shared" si="8"/>
        <v>16250</v>
      </c>
      <c r="J24" s="26">
        <f t="shared" si="8"/>
        <v>16250</v>
      </c>
      <c r="K24" s="26">
        <f t="shared" si="8"/>
        <v>16250</v>
      </c>
      <c r="L24" s="26">
        <f t="shared" si="8"/>
        <v>16250</v>
      </c>
      <c r="M24" s="26">
        <f t="shared" si="8"/>
        <v>16250</v>
      </c>
      <c r="N24" s="26">
        <f t="shared" si="8"/>
        <v>877757.9</v>
      </c>
      <c r="O24" s="26">
        <f t="shared" si="8"/>
        <v>0</v>
      </c>
      <c r="P24" s="26">
        <f t="shared" si="8"/>
        <v>0</v>
      </c>
      <c r="Q24" s="26">
        <f t="shared" si="8"/>
        <v>0</v>
      </c>
      <c r="R24" s="26">
        <f>SUM(R25:R30)</f>
        <v>0</v>
      </c>
      <c r="S24" s="26">
        <f>SUM(S25:S30)</f>
        <v>0</v>
      </c>
      <c r="T24" s="26"/>
      <c r="U24" s="26">
        <f>SUM(U25:U30)</f>
        <v>975257.9</v>
      </c>
      <c r="V24" s="26">
        <f t="shared" si="1"/>
        <v>86252.09999999998</v>
      </c>
    </row>
    <row r="25" spans="1:22" ht="15">
      <c r="A25" s="27">
        <v>2</v>
      </c>
      <c r="B25" s="1">
        <v>1</v>
      </c>
      <c r="C25" s="1">
        <v>2</v>
      </c>
      <c r="D25" s="1">
        <v>2</v>
      </c>
      <c r="E25" s="53" t="s">
        <v>18</v>
      </c>
      <c r="F25" s="29" t="s">
        <v>37</v>
      </c>
      <c r="G25" s="30">
        <v>0</v>
      </c>
      <c r="H25" s="30">
        <v>0</v>
      </c>
      <c r="I25" s="30">
        <v>0</v>
      </c>
      <c r="J25" s="30">
        <v>0</v>
      </c>
      <c r="K25" s="25">
        <v>0</v>
      </c>
      <c r="L25" s="25"/>
      <c r="M25" s="25"/>
      <c r="N25" s="25"/>
      <c r="O25" s="25"/>
      <c r="P25" s="25"/>
      <c r="Q25" s="25"/>
      <c r="R25" s="25"/>
      <c r="S25" s="25"/>
      <c r="T25" s="25"/>
      <c r="U25" s="30">
        <f aca="true" t="shared" si="9" ref="U25:U31">+H25+I25+J25+K25+L25+M25+N25+O25+P25+Q25+R25+S25</f>
        <v>0</v>
      </c>
      <c r="V25" s="26">
        <f t="shared" si="1"/>
        <v>0</v>
      </c>
    </row>
    <row r="26" spans="1:22" ht="15">
      <c r="A26" s="27">
        <v>2</v>
      </c>
      <c r="B26" s="1">
        <v>1</v>
      </c>
      <c r="C26" s="1">
        <v>2</v>
      </c>
      <c r="D26" s="1">
        <v>2</v>
      </c>
      <c r="E26" s="53" t="s">
        <v>22</v>
      </c>
      <c r="F26" s="29" t="s">
        <v>38</v>
      </c>
      <c r="G26" s="30">
        <v>0</v>
      </c>
      <c r="H26" s="30"/>
      <c r="I26" s="30"/>
      <c r="J26" s="30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30">
        <f t="shared" si="9"/>
        <v>0</v>
      </c>
      <c r="V26" s="26">
        <f t="shared" si="1"/>
        <v>0</v>
      </c>
    </row>
    <row r="27" spans="1:22" ht="15">
      <c r="A27" s="27">
        <v>2</v>
      </c>
      <c r="B27" s="1">
        <v>1</v>
      </c>
      <c r="C27" s="1">
        <v>2</v>
      </c>
      <c r="D27" s="1">
        <v>2</v>
      </c>
      <c r="E27" s="53" t="s">
        <v>26</v>
      </c>
      <c r="F27" s="29" t="s">
        <v>39</v>
      </c>
      <c r="G27" s="30">
        <v>0</v>
      </c>
      <c r="H27" s="30">
        <v>0</v>
      </c>
      <c r="I27" s="30">
        <v>0</v>
      </c>
      <c r="J27" s="30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/>
      <c r="S27" s="25"/>
      <c r="T27" s="25"/>
      <c r="U27" s="30">
        <f t="shared" si="9"/>
        <v>0</v>
      </c>
      <c r="V27" s="26">
        <f t="shared" si="1"/>
        <v>0</v>
      </c>
    </row>
    <row r="28" spans="1:23" ht="15">
      <c r="A28" s="27">
        <v>2</v>
      </c>
      <c r="B28" s="1">
        <v>1</v>
      </c>
      <c r="C28" s="1">
        <v>2</v>
      </c>
      <c r="D28" s="1">
        <v>2</v>
      </c>
      <c r="E28" s="53" t="s">
        <v>28</v>
      </c>
      <c r="F28" s="29" t="s">
        <v>40</v>
      </c>
      <c r="G28" s="30">
        <v>200000</v>
      </c>
      <c r="H28" s="30">
        <v>16250</v>
      </c>
      <c r="I28" s="30">
        <v>16250</v>
      </c>
      <c r="J28" s="30">
        <v>16250</v>
      </c>
      <c r="K28" s="25">
        <v>16250</v>
      </c>
      <c r="L28" s="25">
        <v>16250</v>
      </c>
      <c r="M28" s="25">
        <v>16250</v>
      </c>
      <c r="N28" s="25">
        <v>16250</v>
      </c>
      <c r="O28" s="25">
        <v>0</v>
      </c>
      <c r="P28" s="25">
        <v>0</v>
      </c>
      <c r="Q28" s="25">
        <v>0</v>
      </c>
      <c r="R28" s="25"/>
      <c r="S28" s="25"/>
      <c r="T28" s="25"/>
      <c r="U28" s="30">
        <f t="shared" si="9"/>
        <v>113750</v>
      </c>
      <c r="V28" s="26">
        <f t="shared" si="1"/>
        <v>86250</v>
      </c>
      <c r="W28" s="101" t="s">
        <v>33</v>
      </c>
    </row>
    <row r="29" spans="1:22" ht="15">
      <c r="A29" s="27">
        <v>2</v>
      </c>
      <c r="B29" s="1">
        <v>1</v>
      </c>
      <c r="C29" s="1">
        <v>2</v>
      </c>
      <c r="D29" s="1">
        <v>2</v>
      </c>
      <c r="E29" s="53" t="s">
        <v>41</v>
      </c>
      <c r="F29" s="29" t="s">
        <v>42</v>
      </c>
      <c r="G29" s="30">
        <v>0</v>
      </c>
      <c r="H29" s="30"/>
      <c r="I29" s="30"/>
      <c r="J29" s="30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30">
        <f t="shared" si="9"/>
        <v>0</v>
      </c>
      <c r="V29" s="26">
        <f t="shared" si="1"/>
        <v>0</v>
      </c>
    </row>
    <row r="30" spans="1:22" ht="15">
      <c r="A30" s="27">
        <v>2</v>
      </c>
      <c r="B30" s="1">
        <v>1</v>
      </c>
      <c r="C30" s="1">
        <v>2</v>
      </c>
      <c r="D30" s="1">
        <v>2</v>
      </c>
      <c r="E30" s="53" t="s">
        <v>43</v>
      </c>
      <c r="F30" s="29" t="s">
        <v>44</v>
      </c>
      <c r="G30" s="30">
        <v>861510</v>
      </c>
      <c r="H30" s="30"/>
      <c r="I30" s="30"/>
      <c r="J30" s="30"/>
      <c r="K30" s="25"/>
      <c r="L30" s="25"/>
      <c r="M30" s="25"/>
      <c r="N30" s="25">
        <v>861507.9</v>
      </c>
      <c r="O30" s="25">
        <v>0</v>
      </c>
      <c r="P30" s="25"/>
      <c r="Q30" s="25"/>
      <c r="R30" s="25"/>
      <c r="S30" s="25">
        <v>0</v>
      </c>
      <c r="T30" s="25"/>
      <c r="U30" s="30">
        <f t="shared" si="9"/>
        <v>861507.9</v>
      </c>
      <c r="V30" s="26">
        <f t="shared" si="1"/>
        <v>2.099999999976717</v>
      </c>
    </row>
    <row r="31" spans="1:22" ht="15">
      <c r="A31" s="27"/>
      <c r="B31" s="1"/>
      <c r="C31" s="1"/>
      <c r="D31" s="1"/>
      <c r="E31" s="53"/>
      <c r="F31" s="29"/>
      <c r="G31" s="30" t="s">
        <v>33</v>
      </c>
      <c r="H31" s="30">
        <v>0</v>
      </c>
      <c r="I31" s="30">
        <v>0</v>
      </c>
      <c r="J31" s="30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/>
      <c r="S31" s="25">
        <v>0</v>
      </c>
      <c r="T31" s="25">
        <v>0</v>
      </c>
      <c r="U31" s="30">
        <f t="shared" si="9"/>
        <v>0</v>
      </c>
      <c r="V31" s="26">
        <v>0</v>
      </c>
    </row>
    <row r="32" spans="1:22" ht="22.5">
      <c r="A32" s="27">
        <v>2</v>
      </c>
      <c r="B32" s="1">
        <v>1</v>
      </c>
      <c r="C32" s="1">
        <v>3</v>
      </c>
      <c r="D32" s="29"/>
      <c r="E32" s="54"/>
      <c r="F32" s="1" t="s">
        <v>45</v>
      </c>
      <c r="G32" s="26">
        <f>G33+G36</f>
        <v>324001</v>
      </c>
      <c r="H32" s="26">
        <f aca="true" t="shared" si="10" ref="H32:U32">H33+H36</f>
        <v>0</v>
      </c>
      <c r="I32" s="26">
        <f t="shared" si="10"/>
        <v>22650</v>
      </c>
      <c r="J32" s="26">
        <f t="shared" si="10"/>
        <v>45300</v>
      </c>
      <c r="K32" s="26">
        <f t="shared" si="10"/>
        <v>0</v>
      </c>
      <c r="L32" s="26">
        <f t="shared" si="10"/>
        <v>45300</v>
      </c>
      <c r="M32" s="26">
        <f t="shared" si="10"/>
        <v>22650</v>
      </c>
      <c r="N32" s="26">
        <f t="shared" si="10"/>
        <v>22650</v>
      </c>
      <c r="O32" s="26">
        <f t="shared" si="10"/>
        <v>0</v>
      </c>
      <c r="P32" s="26">
        <f t="shared" si="10"/>
        <v>0</v>
      </c>
      <c r="Q32" s="26">
        <f t="shared" si="10"/>
        <v>0</v>
      </c>
      <c r="R32" s="26"/>
      <c r="S32" s="26"/>
      <c r="T32" s="26"/>
      <c r="U32" s="26">
        <f t="shared" si="10"/>
        <v>158550</v>
      </c>
      <c r="V32" s="26">
        <f aca="true" t="shared" si="11" ref="V32:V63">G32-U32</f>
        <v>165451</v>
      </c>
    </row>
    <row r="33" spans="1:22" ht="15">
      <c r="A33" s="27">
        <v>2</v>
      </c>
      <c r="B33" s="1">
        <v>1</v>
      </c>
      <c r="C33" s="1">
        <v>3</v>
      </c>
      <c r="D33" s="1">
        <v>1</v>
      </c>
      <c r="E33" s="52"/>
      <c r="F33" s="1" t="s">
        <v>46</v>
      </c>
      <c r="G33" s="26">
        <f>G34+G35</f>
        <v>0</v>
      </c>
      <c r="H33" s="26">
        <f aca="true" t="shared" si="12" ref="H33:U33">H34+H35</f>
        <v>0</v>
      </c>
      <c r="I33" s="26">
        <f t="shared" si="12"/>
        <v>0</v>
      </c>
      <c r="J33" s="26">
        <f t="shared" si="12"/>
        <v>0</v>
      </c>
      <c r="K33" s="26">
        <f t="shared" si="12"/>
        <v>0</v>
      </c>
      <c r="L33" s="26">
        <f t="shared" si="12"/>
        <v>0</v>
      </c>
      <c r="M33" s="26">
        <f t="shared" si="12"/>
        <v>0</v>
      </c>
      <c r="N33" s="26">
        <f t="shared" si="12"/>
        <v>0</v>
      </c>
      <c r="O33" s="26">
        <f t="shared" si="12"/>
        <v>0</v>
      </c>
      <c r="P33" s="26">
        <f t="shared" si="12"/>
        <v>0</v>
      </c>
      <c r="Q33" s="26">
        <f t="shared" si="12"/>
        <v>0</v>
      </c>
      <c r="R33" s="26"/>
      <c r="S33" s="26"/>
      <c r="T33" s="26"/>
      <c r="U33" s="26">
        <f t="shared" si="12"/>
        <v>0</v>
      </c>
      <c r="V33" s="26">
        <f t="shared" si="11"/>
        <v>0</v>
      </c>
    </row>
    <row r="34" spans="1:22" ht="15">
      <c r="A34" s="27">
        <v>2</v>
      </c>
      <c r="B34" s="1">
        <v>1</v>
      </c>
      <c r="C34" s="1">
        <v>3</v>
      </c>
      <c r="D34" s="1">
        <v>1</v>
      </c>
      <c r="E34" s="53" t="s">
        <v>18</v>
      </c>
      <c r="F34" s="29" t="s">
        <v>47</v>
      </c>
      <c r="G34" s="30">
        <v>0</v>
      </c>
      <c r="H34" s="30"/>
      <c r="I34" s="30"/>
      <c r="J34" s="30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>
        <f>+H34+I34+J34+K34+L34+M34+N34+O34+P34+Q34+R34+S34</f>
        <v>0</v>
      </c>
      <c r="V34" s="26">
        <f t="shared" si="11"/>
        <v>0</v>
      </c>
    </row>
    <row r="35" spans="1:22" ht="15">
      <c r="A35" s="27">
        <v>2</v>
      </c>
      <c r="B35" s="1">
        <v>1</v>
      </c>
      <c r="C35" s="1">
        <v>3</v>
      </c>
      <c r="D35" s="1">
        <v>1</v>
      </c>
      <c r="E35" s="53" t="s">
        <v>22</v>
      </c>
      <c r="F35" s="29" t="s">
        <v>48</v>
      </c>
      <c r="G35" s="30">
        <v>0</v>
      </c>
      <c r="H35" s="30"/>
      <c r="I35" s="30"/>
      <c r="J35" s="30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>
        <f>+H35+I35+J35+K35+L35+M35+N35+O35+P35+Q35+R35+S35</f>
        <v>0</v>
      </c>
      <c r="V35" s="26">
        <f t="shared" si="11"/>
        <v>0</v>
      </c>
    </row>
    <row r="36" spans="1:23" ht="15">
      <c r="A36" s="27">
        <v>2</v>
      </c>
      <c r="B36" s="1">
        <v>1</v>
      </c>
      <c r="C36" s="1">
        <v>3</v>
      </c>
      <c r="D36" s="1">
        <v>2</v>
      </c>
      <c r="E36" s="55"/>
      <c r="F36" s="1" t="s">
        <v>49</v>
      </c>
      <c r="G36" s="26">
        <f aca="true" t="shared" si="13" ref="G36:Q36">G37</f>
        <v>324001</v>
      </c>
      <c r="H36" s="26">
        <f t="shared" si="13"/>
        <v>0</v>
      </c>
      <c r="I36" s="26">
        <f t="shared" si="13"/>
        <v>22650</v>
      </c>
      <c r="J36" s="26">
        <f t="shared" si="13"/>
        <v>45300</v>
      </c>
      <c r="K36" s="26">
        <f t="shared" si="13"/>
        <v>0</v>
      </c>
      <c r="L36" s="26">
        <f t="shared" si="13"/>
        <v>45300</v>
      </c>
      <c r="M36" s="26">
        <f t="shared" si="13"/>
        <v>22650</v>
      </c>
      <c r="N36" s="26">
        <f t="shared" si="13"/>
        <v>22650</v>
      </c>
      <c r="O36" s="26">
        <f t="shared" si="13"/>
        <v>0</v>
      </c>
      <c r="P36" s="26">
        <f t="shared" si="13"/>
        <v>0</v>
      </c>
      <c r="Q36" s="26">
        <f t="shared" si="13"/>
        <v>0</v>
      </c>
      <c r="R36" s="26"/>
      <c r="S36" s="26"/>
      <c r="T36" s="26"/>
      <c r="U36" s="26">
        <f>U37</f>
        <v>158550</v>
      </c>
      <c r="V36" s="26">
        <f t="shared" si="11"/>
        <v>165451</v>
      </c>
      <c r="W36" s="93"/>
    </row>
    <row r="37" spans="1:22" ht="15">
      <c r="A37" s="28">
        <v>2</v>
      </c>
      <c r="B37" s="29">
        <v>1</v>
      </c>
      <c r="C37" s="29">
        <v>3</v>
      </c>
      <c r="D37" s="29">
        <v>2.01</v>
      </c>
      <c r="E37" s="53" t="s">
        <v>18</v>
      </c>
      <c r="F37" s="29" t="s">
        <v>50</v>
      </c>
      <c r="G37" s="30">
        <v>324001</v>
      </c>
      <c r="H37" s="30">
        <v>0</v>
      </c>
      <c r="I37" s="30">
        <f>22650</f>
        <v>22650</v>
      </c>
      <c r="J37" s="30">
        <f>22650+22650</f>
        <v>45300</v>
      </c>
      <c r="K37" s="25">
        <v>0</v>
      </c>
      <c r="L37" s="25">
        <f>22650+22650</f>
        <v>45300</v>
      </c>
      <c r="M37" s="25">
        <v>22650</v>
      </c>
      <c r="N37" s="25">
        <v>22650</v>
      </c>
      <c r="O37" s="25">
        <v>0</v>
      </c>
      <c r="P37" s="25">
        <v>0</v>
      </c>
      <c r="Q37" s="25">
        <v>0</v>
      </c>
      <c r="R37" s="25"/>
      <c r="S37" s="25"/>
      <c r="T37" s="25"/>
      <c r="U37" s="30">
        <f>+H37+I37+J37+K37+L37+M37+N37+O37+P37+Q37+R37+S37</f>
        <v>158550</v>
      </c>
      <c r="V37" s="26">
        <f t="shared" si="11"/>
        <v>165451</v>
      </c>
    </row>
    <row r="38" spans="1:22" ht="15">
      <c r="A38" s="28"/>
      <c r="B38" s="29"/>
      <c r="C38" s="29"/>
      <c r="D38" s="29"/>
      <c r="E38" s="53"/>
      <c r="F38" s="29"/>
      <c r="G38" s="30"/>
      <c r="H38" s="30"/>
      <c r="I38" s="30"/>
      <c r="J38" s="30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/>
      <c r="V38" s="26">
        <f t="shared" si="11"/>
        <v>0</v>
      </c>
    </row>
    <row r="39" spans="1:22" ht="22.5">
      <c r="A39" s="27">
        <v>2</v>
      </c>
      <c r="B39" s="1">
        <v>1</v>
      </c>
      <c r="C39" s="1">
        <v>4</v>
      </c>
      <c r="D39" s="1"/>
      <c r="E39" s="55"/>
      <c r="F39" s="1" t="s">
        <v>51</v>
      </c>
      <c r="G39" s="26">
        <f>G40+G41</f>
        <v>0</v>
      </c>
      <c r="H39" s="26">
        <f aca="true" t="shared" si="14" ref="H39:U39">H40+H41</f>
        <v>0</v>
      </c>
      <c r="I39" s="26">
        <f t="shared" si="14"/>
        <v>0</v>
      </c>
      <c r="J39" s="26">
        <f t="shared" si="14"/>
        <v>0</v>
      </c>
      <c r="K39" s="26">
        <f t="shared" si="14"/>
        <v>0</v>
      </c>
      <c r="L39" s="26">
        <f t="shared" si="14"/>
        <v>0</v>
      </c>
      <c r="M39" s="26">
        <f t="shared" si="14"/>
        <v>0</v>
      </c>
      <c r="N39" s="26">
        <f t="shared" si="14"/>
        <v>0</v>
      </c>
      <c r="O39" s="26">
        <f t="shared" si="14"/>
        <v>0</v>
      </c>
      <c r="P39" s="26">
        <f t="shared" si="14"/>
        <v>0</v>
      </c>
      <c r="Q39" s="26">
        <f t="shared" si="14"/>
        <v>0</v>
      </c>
      <c r="R39" s="26"/>
      <c r="S39" s="26"/>
      <c r="T39" s="26"/>
      <c r="U39" s="26">
        <f t="shared" si="14"/>
        <v>0</v>
      </c>
      <c r="V39" s="26">
        <f t="shared" si="11"/>
        <v>0</v>
      </c>
    </row>
    <row r="40" spans="1:22" ht="15">
      <c r="A40" s="27">
        <v>2</v>
      </c>
      <c r="B40" s="1">
        <v>1</v>
      </c>
      <c r="C40" s="1">
        <v>4</v>
      </c>
      <c r="D40" s="1">
        <v>1</v>
      </c>
      <c r="E40" s="55"/>
      <c r="F40" s="1" t="s">
        <v>52</v>
      </c>
      <c r="G40" s="30"/>
      <c r="H40" s="30"/>
      <c r="I40" s="30"/>
      <c r="J40" s="30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6">
        <f>H40+I40+J40+K40+L40+M40+N40+O40+P40+Q40+R40+S40</f>
        <v>0</v>
      </c>
      <c r="V40" s="26">
        <f t="shared" si="11"/>
        <v>0</v>
      </c>
    </row>
    <row r="41" spans="1:22" ht="15">
      <c r="A41" s="27">
        <v>2</v>
      </c>
      <c r="B41" s="1">
        <v>1</v>
      </c>
      <c r="C41" s="1">
        <v>4</v>
      </c>
      <c r="D41" s="1">
        <v>2</v>
      </c>
      <c r="E41" s="55"/>
      <c r="F41" s="1" t="s">
        <v>53</v>
      </c>
      <c r="G41" s="26">
        <f>+G42</f>
        <v>0</v>
      </c>
      <c r="H41" s="26">
        <f aca="true" t="shared" si="15" ref="H41:U41">+H42</f>
        <v>0</v>
      </c>
      <c r="I41" s="26">
        <f t="shared" si="15"/>
        <v>0</v>
      </c>
      <c r="J41" s="26">
        <f t="shared" si="15"/>
        <v>0</v>
      </c>
      <c r="K41" s="26">
        <f t="shared" si="15"/>
        <v>0</v>
      </c>
      <c r="L41" s="26">
        <f t="shared" si="15"/>
        <v>0</v>
      </c>
      <c r="M41" s="26">
        <f t="shared" si="15"/>
        <v>0</v>
      </c>
      <c r="N41" s="26">
        <f t="shared" si="15"/>
        <v>0</v>
      </c>
      <c r="O41" s="26">
        <f t="shared" si="15"/>
        <v>0</v>
      </c>
      <c r="P41" s="26">
        <f t="shared" si="15"/>
        <v>0</v>
      </c>
      <c r="Q41" s="26">
        <f t="shared" si="15"/>
        <v>0</v>
      </c>
      <c r="R41" s="26"/>
      <c r="S41" s="26"/>
      <c r="T41" s="26"/>
      <c r="U41" s="26">
        <f t="shared" si="15"/>
        <v>0</v>
      </c>
      <c r="V41" s="26">
        <f t="shared" si="11"/>
        <v>0</v>
      </c>
    </row>
    <row r="42" spans="1:22" ht="15">
      <c r="A42" s="28">
        <v>2</v>
      </c>
      <c r="B42" s="29">
        <v>1</v>
      </c>
      <c r="C42" s="29">
        <v>4</v>
      </c>
      <c r="D42" s="29">
        <v>2</v>
      </c>
      <c r="E42" s="53" t="s">
        <v>18</v>
      </c>
      <c r="F42" s="29" t="s">
        <v>54</v>
      </c>
      <c r="G42" s="30">
        <v>0</v>
      </c>
      <c r="H42" s="30"/>
      <c r="I42" s="30"/>
      <c r="J42" s="30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6">
        <f>H42+I42+J42+K42+L42+M42+N42+O42+P42+Q42+R42+S42</f>
        <v>0</v>
      </c>
      <c r="V42" s="26">
        <f t="shared" si="11"/>
        <v>0</v>
      </c>
    </row>
    <row r="43" spans="1:23" ht="22.5">
      <c r="A43" s="27">
        <v>2</v>
      </c>
      <c r="B43" s="1">
        <v>1</v>
      </c>
      <c r="C43" s="1">
        <v>5</v>
      </c>
      <c r="D43" s="29"/>
      <c r="E43" s="54"/>
      <c r="F43" s="1" t="s">
        <v>55</v>
      </c>
      <c r="G43" s="26">
        <f>G44+G45+G46</f>
        <v>3960000</v>
      </c>
      <c r="H43" s="26">
        <f>H44+H45+H46</f>
        <v>322191.49</v>
      </c>
      <c r="I43" s="26">
        <f>I44+I45+I46</f>
        <v>4617</v>
      </c>
      <c r="J43" s="26">
        <f aca="true" t="shared" si="16" ref="J43:U43">J44+J45+J46</f>
        <v>664109.9299999999</v>
      </c>
      <c r="K43" s="26">
        <f t="shared" si="16"/>
        <v>376738.32999999996</v>
      </c>
      <c r="L43" s="26">
        <f t="shared" si="16"/>
        <v>340373.76999999996</v>
      </c>
      <c r="M43" s="26">
        <f t="shared" si="16"/>
        <v>340373.76999999996</v>
      </c>
      <c r="N43" s="26">
        <f t="shared" si="16"/>
        <v>340373.76999999996</v>
      </c>
      <c r="O43" s="26">
        <f>O44+O45+O46</f>
        <v>0</v>
      </c>
      <c r="P43" s="26">
        <f t="shared" si="16"/>
        <v>0</v>
      </c>
      <c r="Q43" s="26">
        <f t="shared" si="16"/>
        <v>0</v>
      </c>
      <c r="R43" s="26"/>
      <c r="S43" s="26"/>
      <c r="T43" s="26"/>
      <c r="U43" s="26">
        <f t="shared" si="16"/>
        <v>2388778.06</v>
      </c>
      <c r="V43" s="26">
        <f t="shared" si="11"/>
        <v>1571221.94</v>
      </c>
      <c r="W43" s="93"/>
    </row>
    <row r="44" spans="1:22" ht="15">
      <c r="A44" s="27">
        <v>2</v>
      </c>
      <c r="B44" s="1">
        <v>1</v>
      </c>
      <c r="C44" s="1">
        <v>5</v>
      </c>
      <c r="D44" s="1">
        <v>1</v>
      </c>
      <c r="E44" s="52">
        <v>1</v>
      </c>
      <c r="F44" s="1" t="s">
        <v>56</v>
      </c>
      <c r="G44" s="30">
        <v>1800000</v>
      </c>
      <c r="H44" s="30">
        <f>10511.63+138547.34</f>
        <v>149058.97</v>
      </c>
      <c r="I44" s="30">
        <f>2127</f>
        <v>2127</v>
      </c>
      <c r="J44" s="30">
        <f>146931.97+2127+146931.97+11686.43</f>
        <v>307677.37</v>
      </c>
      <c r="K44" s="25">
        <f>157443.6+8384.63+8384.63</f>
        <v>174212.86000000002</v>
      </c>
      <c r="L44" s="25">
        <v>157443.6</v>
      </c>
      <c r="M44" s="25">
        <v>157443.6</v>
      </c>
      <c r="N44" s="25">
        <v>157443.6</v>
      </c>
      <c r="O44" s="25">
        <v>0</v>
      </c>
      <c r="P44" s="25">
        <v>0</v>
      </c>
      <c r="Q44" s="25">
        <v>0</v>
      </c>
      <c r="R44" s="25"/>
      <c r="S44" s="25"/>
      <c r="T44" s="25"/>
      <c r="U44" s="30">
        <f>+H44+I44+J44+K44+L44+M44+N44+O44+P44+Q44+R44+S44</f>
        <v>1105407</v>
      </c>
      <c r="V44" s="26">
        <f t="shared" si="11"/>
        <v>694593</v>
      </c>
    </row>
    <row r="45" spans="1:22" ht="15">
      <c r="A45" s="27">
        <v>2</v>
      </c>
      <c r="B45" s="1">
        <v>1</v>
      </c>
      <c r="C45" s="1">
        <v>5</v>
      </c>
      <c r="D45" s="1">
        <v>2</v>
      </c>
      <c r="E45" s="52"/>
      <c r="F45" s="1" t="s">
        <v>57</v>
      </c>
      <c r="G45" s="30">
        <v>1920000</v>
      </c>
      <c r="H45" s="30">
        <f>11498.53+148295.47</f>
        <v>159794</v>
      </c>
      <c r="I45" s="30">
        <f>2130</f>
        <v>2130</v>
      </c>
      <c r="J45" s="30">
        <f>2130+157664+157664+11955.37</f>
        <v>329413.37</v>
      </c>
      <c r="K45" s="25">
        <f>169024+9230+9230</f>
        <v>187484</v>
      </c>
      <c r="L45" s="25">
        <v>169024</v>
      </c>
      <c r="M45" s="25">
        <v>169024</v>
      </c>
      <c r="N45" s="25">
        <v>169024</v>
      </c>
      <c r="O45" s="25">
        <v>0</v>
      </c>
      <c r="P45" s="25">
        <v>0</v>
      </c>
      <c r="Q45" s="25">
        <v>0</v>
      </c>
      <c r="R45" s="25"/>
      <c r="S45" s="25"/>
      <c r="T45" s="25"/>
      <c r="U45" s="30">
        <f>+H45+I45+J45+K45+L45+M45+N45+O45+P45+Q45+R45+S45</f>
        <v>1185893.37</v>
      </c>
      <c r="V45" s="26">
        <f t="shared" si="11"/>
        <v>734106.6299999999</v>
      </c>
    </row>
    <row r="46" spans="1:22" ht="15">
      <c r="A46" s="27">
        <v>2</v>
      </c>
      <c r="B46" s="1">
        <v>1</v>
      </c>
      <c r="C46" s="1">
        <v>5</v>
      </c>
      <c r="D46" s="1">
        <v>3</v>
      </c>
      <c r="E46" s="52"/>
      <c r="F46" s="1" t="s">
        <v>58</v>
      </c>
      <c r="G46" s="30">
        <v>240000</v>
      </c>
      <c r="H46" s="30">
        <f>927.65+12410.87</f>
        <v>13338.52</v>
      </c>
      <c r="I46" s="30">
        <f>360</f>
        <v>360</v>
      </c>
      <c r="J46" s="30">
        <f>360+12978.52+12978.52+702.15</f>
        <v>27019.190000000002</v>
      </c>
      <c r="K46" s="25">
        <f>13906.17+567.65+567.65</f>
        <v>15041.47</v>
      </c>
      <c r="L46" s="25">
        <v>13906.17</v>
      </c>
      <c r="M46" s="25">
        <v>13906.17</v>
      </c>
      <c r="N46" s="25">
        <v>13906.17</v>
      </c>
      <c r="O46" s="25">
        <v>0</v>
      </c>
      <c r="P46" s="25">
        <v>0</v>
      </c>
      <c r="Q46" s="25">
        <v>0</v>
      </c>
      <c r="R46" s="25"/>
      <c r="S46" s="25"/>
      <c r="T46" s="25"/>
      <c r="U46" s="30">
        <f>+H46+I46+J46+K46+L46+M46+N46+O46+P46+Q46+R46+S46</f>
        <v>97477.69</v>
      </c>
      <c r="V46" s="26">
        <f t="shared" si="11"/>
        <v>142522.31</v>
      </c>
    </row>
    <row r="47" spans="1:22" ht="15.75" thickBot="1">
      <c r="A47" s="32"/>
      <c r="B47" s="33"/>
      <c r="C47" s="33"/>
      <c r="D47" s="33"/>
      <c r="E47" s="56"/>
      <c r="F47" s="1"/>
      <c r="G47" s="26"/>
      <c r="H47" s="30"/>
      <c r="I47" s="30"/>
      <c r="J47" s="26"/>
      <c r="K47" s="25">
        <v>0</v>
      </c>
      <c r="L47" s="25"/>
      <c r="M47" s="25"/>
      <c r="N47" s="25"/>
      <c r="O47" s="25"/>
      <c r="P47" s="25"/>
      <c r="Q47" s="25"/>
      <c r="R47" s="25"/>
      <c r="S47" s="25"/>
      <c r="T47" s="25"/>
      <c r="U47" s="30"/>
      <c r="V47" s="26">
        <f t="shared" si="11"/>
        <v>0</v>
      </c>
    </row>
    <row r="48" spans="1:22" ht="15.75" thickBot="1">
      <c r="A48" s="21">
        <v>2</v>
      </c>
      <c r="B48" s="22">
        <v>2</v>
      </c>
      <c r="C48" s="22"/>
      <c r="D48" s="22"/>
      <c r="E48" s="51"/>
      <c r="F48" s="1" t="s">
        <v>59</v>
      </c>
      <c r="G48" s="26">
        <f>G50+G60+G64+G68+G72+G77+G83+G93</f>
        <v>15010785.219999999</v>
      </c>
      <c r="H48" s="26">
        <f aca="true" t="shared" si="17" ref="H48:U48">H50+H60+H64+H68+H72+H77+H83+H93</f>
        <v>0</v>
      </c>
      <c r="I48" s="26">
        <f t="shared" si="17"/>
        <v>1135989.91</v>
      </c>
      <c r="J48" s="26">
        <f t="shared" si="17"/>
        <v>1061993.54</v>
      </c>
      <c r="K48" s="26">
        <f t="shared" si="17"/>
        <v>1328455.57</v>
      </c>
      <c r="L48" s="26">
        <f t="shared" si="17"/>
        <v>649073.8200000002</v>
      </c>
      <c r="M48" s="26">
        <f t="shared" si="17"/>
        <v>561491.6100000001</v>
      </c>
      <c r="N48" s="26">
        <f t="shared" si="17"/>
        <v>1053262.94</v>
      </c>
      <c r="O48" s="26">
        <f t="shared" si="17"/>
        <v>0</v>
      </c>
      <c r="P48" s="26">
        <f t="shared" si="17"/>
        <v>0</v>
      </c>
      <c r="Q48" s="26">
        <f t="shared" si="17"/>
        <v>0</v>
      </c>
      <c r="R48" s="26"/>
      <c r="S48" s="26"/>
      <c r="T48" s="26"/>
      <c r="U48" s="26">
        <f t="shared" si="17"/>
        <v>5790267.390000001</v>
      </c>
      <c r="V48" s="26">
        <f t="shared" si="11"/>
        <v>9220517.829999998</v>
      </c>
    </row>
    <row r="49" spans="1:22" ht="15">
      <c r="A49" s="23"/>
      <c r="B49" s="24"/>
      <c r="C49" s="34"/>
      <c r="D49" s="34"/>
      <c r="E49" s="57"/>
      <c r="F49" s="1"/>
      <c r="G49" s="26"/>
      <c r="H49" s="30"/>
      <c r="I49" s="30"/>
      <c r="J49" s="30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>
        <f>+H49+I49+J49+K49+L49+M49+N49+O49+P49+Q49+R49+S49</f>
        <v>0</v>
      </c>
      <c r="V49" s="26">
        <f t="shared" si="11"/>
        <v>0</v>
      </c>
    </row>
    <row r="50" spans="1:23" ht="15">
      <c r="A50" s="27">
        <v>2</v>
      </c>
      <c r="B50" s="1">
        <v>2</v>
      </c>
      <c r="C50" s="1">
        <v>1</v>
      </c>
      <c r="D50" s="29"/>
      <c r="E50" s="54"/>
      <c r="F50" s="1" t="s">
        <v>60</v>
      </c>
      <c r="G50" s="26">
        <f>+G51+G52+G53+G54+G55+G57+G58</f>
        <v>1724001</v>
      </c>
      <c r="H50" s="26">
        <f>+H51+H52+H53+H54+H55+H57+H58</f>
        <v>0</v>
      </c>
      <c r="I50" s="26">
        <f aca="true" t="shared" si="18" ref="I50:U50">+I51+I52+I53+I54+I55+I57+I58</f>
        <v>269934.98</v>
      </c>
      <c r="J50" s="26">
        <f t="shared" si="18"/>
        <v>156308.14</v>
      </c>
      <c r="K50" s="26">
        <f t="shared" si="18"/>
        <v>139011.66999999998</v>
      </c>
      <c r="L50" s="26">
        <f t="shared" si="18"/>
        <v>135218.71000000002</v>
      </c>
      <c r="M50" s="26">
        <f t="shared" si="18"/>
        <v>170432.5</v>
      </c>
      <c r="N50" s="26">
        <f t="shared" si="18"/>
        <v>172905.22</v>
      </c>
      <c r="O50" s="26">
        <f t="shared" si="18"/>
        <v>0</v>
      </c>
      <c r="P50" s="26">
        <f t="shared" si="18"/>
        <v>0</v>
      </c>
      <c r="Q50" s="26">
        <f t="shared" si="18"/>
        <v>0</v>
      </c>
      <c r="R50" s="26"/>
      <c r="S50" s="26"/>
      <c r="T50" s="26"/>
      <c r="U50" s="26">
        <f t="shared" si="18"/>
        <v>1043811.22</v>
      </c>
      <c r="V50" s="26">
        <f t="shared" si="11"/>
        <v>680189.78</v>
      </c>
      <c r="W50" s="101" t="s">
        <v>33</v>
      </c>
    </row>
    <row r="51" spans="1:22" ht="15">
      <c r="A51" s="27">
        <v>2</v>
      </c>
      <c r="B51" s="1">
        <v>2</v>
      </c>
      <c r="C51" s="1">
        <v>1</v>
      </c>
      <c r="D51" s="1">
        <v>2</v>
      </c>
      <c r="E51" s="52"/>
      <c r="F51" s="1" t="s">
        <v>61</v>
      </c>
      <c r="G51" s="30">
        <v>15000</v>
      </c>
      <c r="H51" s="30">
        <v>0</v>
      </c>
      <c r="I51" s="30">
        <f>890.5+890.5</f>
        <v>1781</v>
      </c>
      <c r="J51" s="30">
        <v>890.5</v>
      </c>
      <c r="K51" s="25">
        <v>890.5</v>
      </c>
      <c r="L51" s="25">
        <v>890.5</v>
      </c>
      <c r="M51" s="25">
        <f>30711.37+890.5</f>
        <v>31601.87</v>
      </c>
      <c r="N51" s="25">
        <v>890.5</v>
      </c>
      <c r="O51" s="25">
        <v>0</v>
      </c>
      <c r="P51" s="25">
        <v>0</v>
      </c>
      <c r="Q51" s="25">
        <v>0</v>
      </c>
      <c r="R51" s="25"/>
      <c r="S51" s="25"/>
      <c r="T51" s="25"/>
      <c r="U51" s="30">
        <f>+H51+I51+J51+K51+L51+M51+N51+O51+P51+Q51+R51+S51</f>
        <v>36944.869999999995</v>
      </c>
      <c r="V51" s="26">
        <f t="shared" si="11"/>
        <v>-21944.869999999995</v>
      </c>
    </row>
    <row r="52" spans="1:22" ht="15">
      <c r="A52" s="27">
        <v>2</v>
      </c>
      <c r="B52" s="1">
        <v>2</v>
      </c>
      <c r="C52" s="1">
        <v>1</v>
      </c>
      <c r="D52" s="1">
        <v>3</v>
      </c>
      <c r="E52" s="52"/>
      <c r="F52" s="1" t="s">
        <v>62</v>
      </c>
      <c r="G52" s="30">
        <v>1080000</v>
      </c>
      <c r="H52" s="30">
        <v>0</v>
      </c>
      <c r="I52" s="30">
        <f>65146.9+33141.84+33200+67914.55</f>
        <v>199403.28999999998</v>
      </c>
      <c r="J52" s="30">
        <f>74321.89+33217.5</f>
        <v>107539.39</v>
      </c>
      <c r="K52" s="25">
        <f>30583.68+67137.97</f>
        <v>97721.65</v>
      </c>
      <c r="L52" s="25">
        <f>30475.7+60899.54</f>
        <v>91375.24</v>
      </c>
      <c r="M52" s="25">
        <f>30296.05+66959.8</f>
        <v>97255.85</v>
      </c>
      <c r="N52" s="25">
        <f>59636.95+66959.8</f>
        <v>126596.75</v>
      </c>
      <c r="O52" s="25">
        <v>0</v>
      </c>
      <c r="P52" s="25">
        <v>0</v>
      </c>
      <c r="Q52" s="25">
        <v>0</v>
      </c>
      <c r="R52" s="25"/>
      <c r="S52" s="25"/>
      <c r="T52" s="25"/>
      <c r="U52" s="30">
        <f>+H52+I52+J52+K52+L52+M52+N52+O52+P52+Q52+R52+S52</f>
        <v>719892.1699999999</v>
      </c>
      <c r="V52" s="26">
        <f t="shared" si="11"/>
        <v>360107.8300000001</v>
      </c>
    </row>
    <row r="53" spans="1:22" ht="15">
      <c r="A53" s="27">
        <v>2</v>
      </c>
      <c r="B53" s="1">
        <v>2</v>
      </c>
      <c r="C53" s="1">
        <v>1</v>
      </c>
      <c r="D53" s="1">
        <v>4</v>
      </c>
      <c r="E53" s="52"/>
      <c r="F53" s="1" t="s">
        <v>63</v>
      </c>
      <c r="G53" s="30">
        <v>30001</v>
      </c>
      <c r="H53" s="30">
        <v>0</v>
      </c>
      <c r="I53" s="30">
        <f>2099.5+2099.5</f>
        <v>4199</v>
      </c>
      <c r="J53" s="30">
        <v>2099.5</v>
      </c>
      <c r="K53" s="25">
        <v>2099.5</v>
      </c>
      <c r="L53" s="25">
        <v>2099.5</v>
      </c>
      <c r="M53" s="25">
        <v>2099.5</v>
      </c>
      <c r="N53" s="25">
        <v>2099.5</v>
      </c>
      <c r="O53" s="25">
        <v>0</v>
      </c>
      <c r="P53" s="25">
        <v>0</v>
      </c>
      <c r="Q53" s="25">
        <v>0</v>
      </c>
      <c r="R53" s="25"/>
      <c r="S53" s="25"/>
      <c r="T53" s="25"/>
      <c r="U53" s="30">
        <f>+H53+I53+J53+K53+L53+M53+N53+O53+P53+Q53+R53+S53</f>
        <v>14696.5</v>
      </c>
      <c r="V53" s="26">
        <f t="shared" si="11"/>
        <v>15304.5</v>
      </c>
    </row>
    <row r="54" spans="1:22" ht="15">
      <c r="A54" s="27">
        <v>2</v>
      </c>
      <c r="B54" s="1">
        <v>2</v>
      </c>
      <c r="C54" s="1">
        <v>1</v>
      </c>
      <c r="D54" s="1">
        <v>5</v>
      </c>
      <c r="E54" s="52"/>
      <c r="F54" s="1" t="s">
        <v>64</v>
      </c>
      <c r="G54" s="30">
        <v>30000</v>
      </c>
      <c r="H54" s="30">
        <v>0</v>
      </c>
      <c r="I54" s="30">
        <f>2099.5+2099.5</f>
        <v>4199</v>
      </c>
      <c r="J54" s="30">
        <v>2099.5</v>
      </c>
      <c r="K54" s="25">
        <v>2099.5</v>
      </c>
      <c r="L54" s="25">
        <v>2099.5</v>
      </c>
      <c r="M54" s="25">
        <v>2099.5</v>
      </c>
      <c r="N54" s="25">
        <v>2099.5</v>
      </c>
      <c r="O54" s="25">
        <v>0</v>
      </c>
      <c r="P54" s="25">
        <v>0</v>
      </c>
      <c r="Q54" s="25">
        <v>0</v>
      </c>
      <c r="R54" s="25"/>
      <c r="S54" s="25"/>
      <c r="T54" s="25"/>
      <c r="U54" s="30">
        <f>+H54+I54+J54+K54+L54+M54+N54+O54+P54+Q54+R54+S54</f>
        <v>14696.5</v>
      </c>
      <c r="V54" s="26">
        <f t="shared" si="11"/>
        <v>15303.5</v>
      </c>
    </row>
    <row r="55" spans="1:22" ht="15">
      <c r="A55" s="27">
        <v>2</v>
      </c>
      <c r="B55" s="1">
        <v>2</v>
      </c>
      <c r="C55" s="1">
        <v>1</v>
      </c>
      <c r="D55" s="1">
        <v>6</v>
      </c>
      <c r="E55" s="52"/>
      <c r="F55" s="1" t="s">
        <v>65</v>
      </c>
      <c r="G55" s="26">
        <f>G56</f>
        <v>540000</v>
      </c>
      <c r="H55" s="26">
        <f>H56</f>
        <v>0</v>
      </c>
      <c r="I55" s="26">
        <f aca="true" t="shared" si="19" ref="I55:Q55">I56</f>
        <v>55915.69</v>
      </c>
      <c r="J55" s="26">
        <f t="shared" si="19"/>
        <v>41360.25</v>
      </c>
      <c r="K55" s="26">
        <f t="shared" si="19"/>
        <v>33890.52</v>
      </c>
      <c r="L55" s="26">
        <f t="shared" si="19"/>
        <v>36443.97</v>
      </c>
      <c r="M55" s="26">
        <f t="shared" si="19"/>
        <v>35065.78</v>
      </c>
      <c r="N55" s="26">
        <f t="shared" si="19"/>
        <v>41218.97</v>
      </c>
      <c r="O55" s="26">
        <f t="shared" si="19"/>
        <v>0</v>
      </c>
      <c r="P55" s="26">
        <f t="shared" si="19"/>
        <v>0</v>
      </c>
      <c r="Q55" s="26">
        <f t="shared" si="19"/>
        <v>0</v>
      </c>
      <c r="R55" s="26"/>
      <c r="S55" s="26"/>
      <c r="T55" s="26"/>
      <c r="U55" s="26">
        <f>U56</f>
        <v>243895.18</v>
      </c>
      <c r="V55" s="26">
        <f t="shared" si="11"/>
        <v>296104.82</v>
      </c>
    </row>
    <row r="56" spans="1:22" ht="15">
      <c r="A56" s="28">
        <v>2</v>
      </c>
      <c r="B56" s="29">
        <v>2</v>
      </c>
      <c r="C56" s="29">
        <v>1</v>
      </c>
      <c r="D56" s="29">
        <v>6</v>
      </c>
      <c r="E56" s="53" t="s">
        <v>18</v>
      </c>
      <c r="F56" s="29" t="s">
        <v>66</v>
      </c>
      <c r="G56" s="30">
        <v>540000</v>
      </c>
      <c r="H56" s="30">
        <v>0</v>
      </c>
      <c r="I56" s="30">
        <f>38455.13+17460.56</f>
        <v>55915.69</v>
      </c>
      <c r="J56" s="30">
        <v>41360.25</v>
      </c>
      <c r="K56" s="25">
        <v>33890.52</v>
      </c>
      <c r="L56" s="25">
        <v>36443.97</v>
      </c>
      <c r="M56" s="25">
        <v>35065.78</v>
      </c>
      <c r="N56" s="25">
        <v>41218.97</v>
      </c>
      <c r="O56" s="25">
        <v>0</v>
      </c>
      <c r="P56" s="25">
        <v>0</v>
      </c>
      <c r="Q56" s="25">
        <v>0</v>
      </c>
      <c r="R56" s="25"/>
      <c r="S56" s="25"/>
      <c r="T56" s="25"/>
      <c r="U56" s="30">
        <f>+H56+I56+J56+K56+L56+M56+N56+O56+P56+Q56+R56+S56</f>
        <v>243895.18</v>
      </c>
      <c r="V56" s="26">
        <f t="shared" si="11"/>
        <v>296104.82</v>
      </c>
    </row>
    <row r="57" spans="1:22" ht="15">
      <c r="A57" s="27">
        <v>2</v>
      </c>
      <c r="B57" s="1">
        <v>2</v>
      </c>
      <c r="C57" s="1">
        <v>1</v>
      </c>
      <c r="D57" s="1">
        <v>7</v>
      </c>
      <c r="E57" s="52"/>
      <c r="F57" s="1" t="s">
        <v>67</v>
      </c>
      <c r="G57" s="30">
        <v>7000</v>
      </c>
      <c r="H57" s="30">
        <v>0</v>
      </c>
      <c r="I57" s="30">
        <f>465+465</f>
        <v>930</v>
      </c>
      <c r="J57" s="30">
        <v>474</v>
      </c>
      <c r="K57" s="25">
        <v>465</v>
      </c>
      <c r="L57" s="25">
        <v>465</v>
      </c>
      <c r="M57" s="25">
        <v>465</v>
      </c>
      <c r="N57" s="25">
        <v>0</v>
      </c>
      <c r="O57" s="25">
        <v>0</v>
      </c>
      <c r="P57" s="25">
        <v>0</v>
      </c>
      <c r="Q57" s="25">
        <v>0</v>
      </c>
      <c r="R57" s="25"/>
      <c r="S57" s="25"/>
      <c r="T57" s="25"/>
      <c r="U57" s="30">
        <f>+H57+I57+J57+K57+L57+M57+N57+O57+P57+Q57+R57+S57</f>
        <v>2799</v>
      </c>
      <c r="V57" s="26">
        <f t="shared" si="11"/>
        <v>4201</v>
      </c>
    </row>
    <row r="58" spans="1:22" ht="15">
      <c r="A58" s="27">
        <v>2</v>
      </c>
      <c r="B58" s="1">
        <v>2</v>
      </c>
      <c r="C58" s="1">
        <v>1</v>
      </c>
      <c r="D58" s="1">
        <v>8</v>
      </c>
      <c r="E58" s="52"/>
      <c r="F58" s="1" t="s">
        <v>68</v>
      </c>
      <c r="G58" s="30">
        <v>22000</v>
      </c>
      <c r="H58" s="30">
        <v>0</v>
      </c>
      <c r="I58" s="30">
        <f>1656+1851</f>
        <v>3507</v>
      </c>
      <c r="J58" s="30">
        <v>1845</v>
      </c>
      <c r="K58" s="25">
        <v>1845</v>
      </c>
      <c r="L58" s="25">
        <v>1845</v>
      </c>
      <c r="M58" s="25">
        <v>1845</v>
      </c>
      <c r="N58" s="25">
        <v>0</v>
      </c>
      <c r="O58" s="25">
        <v>0</v>
      </c>
      <c r="P58" s="25">
        <v>0</v>
      </c>
      <c r="Q58" s="25">
        <v>0</v>
      </c>
      <c r="R58" s="25"/>
      <c r="S58" s="25"/>
      <c r="T58" s="25"/>
      <c r="U58" s="30">
        <f>+H58+I58+J58+K58+L58+M58+N58+O58+P58+Q58+R58+S58</f>
        <v>10887</v>
      </c>
      <c r="V58" s="26">
        <f t="shared" si="11"/>
        <v>11113</v>
      </c>
    </row>
    <row r="59" spans="1:22" ht="15">
      <c r="A59" s="27"/>
      <c r="B59" s="1"/>
      <c r="C59" s="1"/>
      <c r="D59" s="1"/>
      <c r="E59" s="54"/>
      <c r="F59" s="1"/>
      <c r="G59" s="26"/>
      <c r="H59" s="30"/>
      <c r="I59" s="30"/>
      <c r="J59" s="30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6">
        <f>+H59+I59+J59+K59+L59+M59+N59+O59+P59+Q59</f>
        <v>0</v>
      </c>
      <c r="V59" s="26">
        <f t="shared" si="11"/>
        <v>0</v>
      </c>
    </row>
    <row r="60" spans="1:22" ht="22.5">
      <c r="A60" s="27">
        <v>2</v>
      </c>
      <c r="B60" s="1">
        <v>2</v>
      </c>
      <c r="C60" s="1">
        <v>2</v>
      </c>
      <c r="D60" s="29"/>
      <c r="E60" s="54"/>
      <c r="F60" s="78" t="s">
        <v>69</v>
      </c>
      <c r="G60" s="74">
        <f>+G61+G62</f>
        <v>650000</v>
      </c>
      <c r="H60" s="74">
        <f aca="true" t="shared" si="20" ref="H60:U60">+H61+H62</f>
        <v>0</v>
      </c>
      <c r="I60" s="74">
        <f t="shared" si="20"/>
        <v>0</v>
      </c>
      <c r="J60" s="74">
        <f t="shared" si="20"/>
        <v>0</v>
      </c>
      <c r="K60" s="74">
        <f t="shared" si="20"/>
        <v>0</v>
      </c>
      <c r="L60" s="74">
        <f t="shared" si="20"/>
        <v>23269.6</v>
      </c>
      <c r="M60" s="74">
        <f t="shared" si="20"/>
        <v>11800</v>
      </c>
      <c r="N60" s="74">
        <f t="shared" si="20"/>
        <v>49560</v>
      </c>
      <c r="O60" s="74">
        <f t="shared" si="20"/>
        <v>0</v>
      </c>
      <c r="P60" s="74">
        <f t="shared" si="20"/>
        <v>0</v>
      </c>
      <c r="Q60" s="74">
        <f t="shared" si="20"/>
        <v>0</v>
      </c>
      <c r="R60" s="74"/>
      <c r="S60" s="74"/>
      <c r="T60" s="74"/>
      <c r="U60" s="74">
        <f t="shared" si="20"/>
        <v>84629.6</v>
      </c>
      <c r="V60" s="26">
        <f t="shared" si="11"/>
        <v>565370.4</v>
      </c>
    </row>
    <row r="61" spans="1:22" ht="21">
      <c r="A61" s="27">
        <v>2</v>
      </c>
      <c r="B61" s="1">
        <v>2</v>
      </c>
      <c r="C61" s="1">
        <v>2</v>
      </c>
      <c r="D61" s="1">
        <v>1</v>
      </c>
      <c r="E61" s="52" t="s">
        <v>70</v>
      </c>
      <c r="F61" s="78" t="s">
        <v>71</v>
      </c>
      <c r="G61" s="30">
        <v>50000</v>
      </c>
      <c r="H61" s="26"/>
      <c r="I61" s="26"/>
      <c r="J61" s="26"/>
      <c r="K61" s="25"/>
      <c r="L61" s="25"/>
      <c r="M61" s="25">
        <v>0</v>
      </c>
      <c r="N61" s="25"/>
      <c r="O61" s="25"/>
      <c r="P61" s="25"/>
      <c r="Q61" s="25"/>
      <c r="R61" s="25"/>
      <c r="S61" s="25"/>
      <c r="T61" s="25"/>
      <c r="U61" s="26">
        <f>+H61+I61+J61+K61+L61+M61+N61+O61+P61+Q61+R61+S61</f>
        <v>0</v>
      </c>
      <c r="V61" s="26">
        <f t="shared" si="11"/>
        <v>50000</v>
      </c>
    </row>
    <row r="62" spans="1:22" ht="21.75" thickBot="1">
      <c r="A62" s="35">
        <v>2</v>
      </c>
      <c r="B62" s="36">
        <v>2</v>
      </c>
      <c r="C62" s="36">
        <v>2</v>
      </c>
      <c r="D62" s="36">
        <v>2</v>
      </c>
      <c r="E62" s="58" t="s">
        <v>70</v>
      </c>
      <c r="F62" s="78" t="s">
        <v>72</v>
      </c>
      <c r="G62" s="30">
        <v>600000</v>
      </c>
      <c r="H62" s="26"/>
      <c r="I62" s="26">
        <v>0</v>
      </c>
      <c r="J62" s="30">
        <v>0</v>
      </c>
      <c r="K62" s="25"/>
      <c r="L62" s="25">
        <v>23269.6</v>
      </c>
      <c r="M62" s="25">
        <v>11800</v>
      </c>
      <c r="N62" s="25">
        <v>49560</v>
      </c>
      <c r="O62" s="25">
        <v>0</v>
      </c>
      <c r="P62" s="25">
        <v>0</v>
      </c>
      <c r="Q62" s="25">
        <v>0</v>
      </c>
      <c r="R62" s="25"/>
      <c r="S62" s="25"/>
      <c r="T62" s="25"/>
      <c r="U62" s="30">
        <f>+H62+I62+K62+L62+M62+N62+O62+P62+Q62+J62+R62+S62</f>
        <v>84629.6</v>
      </c>
      <c r="V62" s="26">
        <f t="shared" si="11"/>
        <v>515370.4</v>
      </c>
    </row>
    <row r="63" spans="1:22" ht="15">
      <c r="A63" s="23"/>
      <c r="B63" s="24"/>
      <c r="C63" s="24"/>
      <c r="D63" s="24"/>
      <c r="E63" s="57"/>
      <c r="F63" s="78"/>
      <c r="G63" s="26"/>
      <c r="H63" s="30"/>
      <c r="I63" s="30"/>
      <c r="J63" s="30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30">
        <f>+H63+I63+J63+K63+L63+M63+N63+O63+P63+Q63</f>
        <v>0</v>
      </c>
      <c r="V63" s="26">
        <f t="shared" si="11"/>
        <v>0</v>
      </c>
    </row>
    <row r="64" spans="1:23" ht="15">
      <c r="A64" s="27">
        <v>2</v>
      </c>
      <c r="B64" s="1">
        <v>2</v>
      </c>
      <c r="C64" s="1">
        <v>3</v>
      </c>
      <c r="D64" s="29"/>
      <c r="E64" s="54"/>
      <c r="F64" s="78" t="s">
        <v>73</v>
      </c>
      <c r="G64" s="26">
        <f>+G65+G66</f>
        <v>3095000</v>
      </c>
      <c r="H64" s="26">
        <f aca="true" t="shared" si="21" ref="H64:U64">+H65+H66</f>
        <v>0</v>
      </c>
      <c r="I64" s="26">
        <f t="shared" si="21"/>
        <v>268250</v>
      </c>
      <c r="J64" s="26">
        <f t="shared" si="21"/>
        <v>226850</v>
      </c>
      <c r="K64" s="26">
        <f t="shared" si="21"/>
        <v>86400</v>
      </c>
      <c r="L64" s="26">
        <f t="shared" si="21"/>
        <v>168400</v>
      </c>
      <c r="M64" s="26">
        <f t="shared" si="21"/>
        <v>48550</v>
      </c>
      <c r="N64" s="26">
        <f t="shared" si="21"/>
        <v>70500</v>
      </c>
      <c r="O64" s="26">
        <f t="shared" si="21"/>
        <v>0</v>
      </c>
      <c r="P64" s="26">
        <f t="shared" si="21"/>
        <v>0</v>
      </c>
      <c r="Q64" s="26">
        <f t="shared" si="21"/>
        <v>0</v>
      </c>
      <c r="R64" s="26">
        <f t="shared" si="21"/>
        <v>0</v>
      </c>
      <c r="S64" s="26">
        <f t="shared" si="21"/>
        <v>0</v>
      </c>
      <c r="T64" s="26"/>
      <c r="U64" s="26">
        <f t="shared" si="21"/>
        <v>868950</v>
      </c>
      <c r="V64" s="26">
        <f aca="true" t="shared" si="22" ref="V64:V95">G64-U64</f>
        <v>2226050</v>
      </c>
      <c r="W64" s="93"/>
    </row>
    <row r="65" spans="1:23" ht="15">
      <c r="A65" s="27">
        <v>2</v>
      </c>
      <c r="B65" s="1">
        <v>2</v>
      </c>
      <c r="C65" s="1">
        <v>3</v>
      </c>
      <c r="D65" s="1">
        <v>1</v>
      </c>
      <c r="E65" s="52"/>
      <c r="F65" s="78" t="s">
        <v>74</v>
      </c>
      <c r="G65" s="30">
        <v>3020000</v>
      </c>
      <c r="H65" s="30">
        <v>0</v>
      </c>
      <c r="I65" s="30">
        <f>160250+108000</f>
        <v>268250</v>
      </c>
      <c r="J65" s="30">
        <f>206750+20100</f>
        <v>226850</v>
      </c>
      <c r="K65" s="25">
        <v>86400</v>
      </c>
      <c r="L65" s="25">
        <f>51000+80800+36600</f>
        <v>168400</v>
      </c>
      <c r="M65" s="25">
        <f>37950+10600</f>
        <v>48550</v>
      </c>
      <c r="N65" s="25">
        <f>20700+49800</f>
        <v>70500</v>
      </c>
      <c r="O65" s="25">
        <v>0</v>
      </c>
      <c r="P65" s="25">
        <v>0</v>
      </c>
      <c r="Q65" s="25">
        <v>0</v>
      </c>
      <c r="R65" s="25"/>
      <c r="S65" s="25">
        <v>0</v>
      </c>
      <c r="T65" s="25"/>
      <c r="U65" s="30">
        <f>+H65+I65+J65+K65+L65+M65+N65+O65+P65+Q65+R65+S65</f>
        <v>868950</v>
      </c>
      <c r="V65" s="26">
        <f t="shared" si="22"/>
        <v>2151050</v>
      </c>
      <c r="W65" s="93"/>
    </row>
    <row r="66" spans="1:22" ht="15">
      <c r="A66" s="27">
        <v>2</v>
      </c>
      <c r="B66" s="1">
        <v>2</v>
      </c>
      <c r="C66" s="1">
        <v>3</v>
      </c>
      <c r="D66" s="1">
        <v>2</v>
      </c>
      <c r="E66" s="52"/>
      <c r="F66" s="78" t="s">
        <v>75</v>
      </c>
      <c r="G66" s="30">
        <v>75000</v>
      </c>
      <c r="H66" s="30"/>
      <c r="I66" s="26"/>
      <c r="J66" s="26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30">
        <f>+H66+I66+J66+K66+L66+M66+N66+O66+P66+Q66+R66+S66</f>
        <v>0</v>
      </c>
      <c r="V66" s="26">
        <f t="shared" si="22"/>
        <v>75000</v>
      </c>
    </row>
    <row r="67" spans="1:22" ht="15">
      <c r="A67" s="27"/>
      <c r="B67" s="1"/>
      <c r="C67" s="1"/>
      <c r="D67" s="1"/>
      <c r="E67" s="54"/>
      <c r="F67" s="78"/>
      <c r="G67" s="26"/>
      <c r="H67" s="30"/>
      <c r="I67" s="30"/>
      <c r="J67" s="30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30">
        <f>+H67+I67+J67+K67+L67+M67+N67+O67+P67+Q67+R67</f>
        <v>0</v>
      </c>
      <c r="V67" s="26">
        <f t="shared" si="22"/>
        <v>0</v>
      </c>
    </row>
    <row r="68" spans="1:22" ht="15">
      <c r="A68" s="27">
        <v>2</v>
      </c>
      <c r="B68" s="1">
        <v>2</v>
      </c>
      <c r="C68" s="1">
        <v>4</v>
      </c>
      <c r="D68" s="29"/>
      <c r="E68" s="54"/>
      <c r="F68" s="78" t="s">
        <v>76</v>
      </c>
      <c r="G68" s="26">
        <f>+G69+G70</f>
        <v>70000</v>
      </c>
      <c r="H68" s="30">
        <f aca="true" t="shared" si="23" ref="H68:U68">+H69+H70</f>
        <v>0</v>
      </c>
      <c r="I68" s="30">
        <f t="shared" si="23"/>
        <v>0</v>
      </c>
      <c r="J68" s="26">
        <f t="shared" si="23"/>
        <v>0</v>
      </c>
      <c r="K68" s="26">
        <f t="shared" si="23"/>
        <v>0</v>
      </c>
      <c r="L68" s="26">
        <f t="shared" si="23"/>
        <v>0</v>
      </c>
      <c r="M68" s="26">
        <f t="shared" si="23"/>
        <v>0</v>
      </c>
      <c r="N68" s="26">
        <f t="shared" si="23"/>
        <v>0</v>
      </c>
      <c r="O68" s="26">
        <f t="shared" si="23"/>
        <v>0</v>
      </c>
      <c r="P68" s="26">
        <f t="shared" si="23"/>
        <v>0</v>
      </c>
      <c r="Q68" s="26">
        <f t="shared" si="23"/>
        <v>0</v>
      </c>
      <c r="R68" s="26"/>
      <c r="S68" s="26"/>
      <c r="T68" s="26"/>
      <c r="U68" s="26">
        <f t="shared" si="23"/>
        <v>0</v>
      </c>
      <c r="V68" s="26">
        <f t="shared" si="22"/>
        <v>70000</v>
      </c>
    </row>
    <row r="69" spans="1:22" ht="15">
      <c r="A69" s="27">
        <v>2</v>
      </c>
      <c r="B69" s="1">
        <v>2</v>
      </c>
      <c r="C69" s="1">
        <v>4</v>
      </c>
      <c r="D69" s="1">
        <v>1</v>
      </c>
      <c r="E69" s="52"/>
      <c r="F69" s="78" t="s">
        <v>77</v>
      </c>
      <c r="G69" s="30">
        <v>50000</v>
      </c>
      <c r="H69" s="30"/>
      <c r="I69" s="30">
        <v>0</v>
      </c>
      <c r="J69" s="26"/>
      <c r="K69" s="25"/>
      <c r="L69" s="25"/>
      <c r="M69" s="25"/>
      <c r="N69" s="25"/>
      <c r="O69" s="25">
        <v>0</v>
      </c>
      <c r="P69" s="25"/>
      <c r="Q69" s="25"/>
      <c r="R69" s="25"/>
      <c r="S69" s="25"/>
      <c r="T69" s="25"/>
      <c r="U69" s="30">
        <f>+H69+I69+J69+K69+L69+M69+N69+O69+P69+Q69+R69+S69</f>
        <v>0</v>
      </c>
      <c r="V69" s="26">
        <f t="shared" si="22"/>
        <v>50000</v>
      </c>
    </row>
    <row r="70" spans="1:22" ht="15">
      <c r="A70" s="27">
        <v>2</v>
      </c>
      <c r="B70" s="1">
        <v>2</v>
      </c>
      <c r="C70" s="1">
        <v>4</v>
      </c>
      <c r="D70" s="1">
        <v>4</v>
      </c>
      <c r="E70" s="52"/>
      <c r="F70" s="78" t="s">
        <v>78</v>
      </c>
      <c r="G70" s="30">
        <v>20000</v>
      </c>
      <c r="H70" s="26">
        <v>0</v>
      </c>
      <c r="I70" s="26">
        <v>0</v>
      </c>
      <c r="J70" s="26">
        <v>0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30">
        <f>+H70+I70+J70+K70+L70+M70+N70+O70+P70+Q70+R70+S70</f>
        <v>0</v>
      </c>
      <c r="V70" s="26">
        <f t="shared" si="22"/>
        <v>20000</v>
      </c>
    </row>
    <row r="71" spans="1:22" ht="10.5" customHeight="1">
      <c r="A71" s="27"/>
      <c r="B71" s="1"/>
      <c r="C71" s="1"/>
      <c r="D71" s="1"/>
      <c r="E71" s="54"/>
      <c r="F71" s="78"/>
      <c r="G71" s="26"/>
      <c r="H71" s="30"/>
      <c r="I71" s="30"/>
      <c r="J71" s="30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30">
        <f>+H71+I71+J71+K71+L71+M71+N71+O71+P71+Q71+R71+S71</f>
        <v>0</v>
      </c>
      <c r="V71" s="26">
        <f t="shared" si="22"/>
        <v>0</v>
      </c>
    </row>
    <row r="72" spans="1:22" ht="15">
      <c r="A72" s="27">
        <v>2</v>
      </c>
      <c r="B72" s="1">
        <v>2</v>
      </c>
      <c r="C72" s="1">
        <v>5</v>
      </c>
      <c r="D72" s="29"/>
      <c r="E72" s="54"/>
      <c r="F72" s="78" t="s">
        <v>79</v>
      </c>
      <c r="G72" s="26">
        <f>G73+G74+G75</f>
        <v>150000</v>
      </c>
      <c r="H72" s="26">
        <f>H73+H74+H75</f>
        <v>0</v>
      </c>
      <c r="I72" s="26">
        <f>I73+I74+I75</f>
        <v>0</v>
      </c>
      <c r="J72" s="26">
        <f>J73+J74+J75</f>
        <v>0</v>
      </c>
      <c r="K72" s="26">
        <f aca="true" t="shared" si="24" ref="K72:Q72">K73+K74+K75</f>
        <v>0</v>
      </c>
      <c r="L72" s="26">
        <f t="shared" si="24"/>
        <v>0</v>
      </c>
      <c r="M72" s="26">
        <f t="shared" si="24"/>
        <v>0</v>
      </c>
      <c r="N72" s="26">
        <f t="shared" si="24"/>
        <v>0</v>
      </c>
      <c r="O72" s="26">
        <f t="shared" si="24"/>
        <v>0</v>
      </c>
      <c r="P72" s="26">
        <f t="shared" si="24"/>
        <v>0</v>
      </c>
      <c r="Q72" s="26">
        <f t="shared" si="24"/>
        <v>0</v>
      </c>
      <c r="R72" s="26"/>
      <c r="S72" s="26"/>
      <c r="T72" s="26"/>
      <c r="U72" s="26">
        <f>U73+U74+U75</f>
        <v>0</v>
      </c>
      <c r="V72" s="26">
        <f t="shared" si="22"/>
        <v>150000</v>
      </c>
    </row>
    <row r="73" spans="1:22" ht="15">
      <c r="A73" s="27">
        <v>2</v>
      </c>
      <c r="B73" s="1">
        <v>2</v>
      </c>
      <c r="C73" s="1">
        <v>5</v>
      </c>
      <c r="D73" s="1">
        <v>1</v>
      </c>
      <c r="E73" s="52" t="s">
        <v>33</v>
      </c>
      <c r="F73" s="78" t="s">
        <v>80</v>
      </c>
      <c r="G73" s="30">
        <v>75000</v>
      </c>
      <c r="H73" s="26"/>
      <c r="I73" s="26"/>
      <c r="J73" s="26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30">
        <f>+H73+I73+J73+K73+L73+M73+N73+O73+P73+Q73+R73+S73</f>
        <v>0</v>
      </c>
      <c r="V73" s="26">
        <f t="shared" si="22"/>
        <v>75000</v>
      </c>
    </row>
    <row r="74" spans="1:22" ht="22.5">
      <c r="A74" s="27">
        <v>2</v>
      </c>
      <c r="B74" s="1">
        <v>2</v>
      </c>
      <c r="C74" s="1">
        <v>5</v>
      </c>
      <c r="D74" s="1">
        <v>4</v>
      </c>
      <c r="E74" s="52"/>
      <c r="F74" s="78" t="s">
        <v>81</v>
      </c>
      <c r="G74" s="30">
        <v>75000</v>
      </c>
      <c r="H74" s="26"/>
      <c r="I74" s="26"/>
      <c r="J74" s="26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30">
        <f>+H74+I74+J74+K74+L74+M74+N74+O74+P74+Q74+R74+S74</f>
        <v>0</v>
      </c>
      <c r="V74" s="26">
        <f t="shared" si="22"/>
        <v>75000</v>
      </c>
    </row>
    <row r="75" spans="1:22" ht="15" customHeight="1">
      <c r="A75" s="27">
        <v>2</v>
      </c>
      <c r="B75" s="1">
        <v>2</v>
      </c>
      <c r="C75" s="1">
        <v>5</v>
      </c>
      <c r="D75" s="1">
        <v>8</v>
      </c>
      <c r="E75" s="52" t="s">
        <v>70</v>
      </c>
      <c r="F75" s="78" t="s">
        <v>204</v>
      </c>
      <c r="G75" s="30"/>
      <c r="H75" s="26"/>
      <c r="I75" s="26"/>
      <c r="J75" s="30">
        <v>0</v>
      </c>
      <c r="K75" s="25"/>
      <c r="L75" s="25"/>
      <c r="M75" s="25"/>
      <c r="N75" s="25"/>
      <c r="O75" s="25"/>
      <c r="P75" s="25"/>
      <c r="Q75" s="25">
        <v>0</v>
      </c>
      <c r="R75" s="25"/>
      <c r="S75" s="25"/>
      <c r="T75" s="25"/>
      <c r="U75" s="30">
        <f>+H75+I75+J75+K75+L75+M75+N75+O75+P75+Q75+R75+S75</f>
        <v>0</v>
      </c>
      <c r="V75" s="26">
        <f t="shared" si="22"/>
        <v>0</v>
      </c>
    </row>
    <row r="76" spans="1:22" ht="15">
      <c r="A76" s="27"/>
      <c r="B76" s="1"/>
      <c r="C76" s="1"/>
      <c r="D76" s="1"/>
      <c r="E76" s="54"/>
      <c r="F76" s="78"/>
      <c r="G76" s="26"/>
      <c r="H76" s="30"/>
      <c r="I76" s="30"/>
      <c r="J76" s="30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30">
        <f>+H76+I76+J76+K76+L76+M76+N76+O76+P76+Q76</f>
        <v>0</v>
      </c>
      <c r="V76" s="26">
        <f t="shared" si="22"/>
        <v>0</v>
      </c>
    </row>
    <row r="77" spans="1:23" ht="15">
      <c r="A77" s="27">
        <v>2</v>
      </c>
      <c r="B77" s="1">
        <v>2</v>
      </c>
      <c r="C77" s="1">
        <v>6</v>
      </c>
      <c r="D77" s="29"/>
      <c r="E77" s="54"/>
      <c r="F77" s="78" t="s">
        <v>82</v>
      </c>
      <c r="G77" s="26">
        <f>SUM(G78:G81)</f>
        <v>2816584.34</v>
      </c>
      <c r="H77" s="26">
        <f aca="true" t="shared" si="25" ref="H77:U77">SUM(H78:H81)</f>
        <v>0</v>
      </c>
      <c r="I77" s="26">
        <f t="shared" si="25"/>
        <v>496217.68</v>
      </c>
      <c r="J77" s="26">
        <f t="shared" si="25"/>
        <v>202263.33000000002</v>
      </c>
      <c r="K77" s="26">
        <f t="shared" si="25"/>
        <v>24704.64</v>
      </c>
      <c r="L77" s="26">
        <f t="shared" si="25"/>
        <v>231855.58000000002</v>
      </c>
      <c r="M77" s="26">
        <f t="shared" si="25"/>
        <v>141241.17</v>
      </c>
      <c r="N77" s="26">
        <f t="shared" si="25"/>
        <v>48032.07</v>
      </c>
      <c r="O77" s="26">
        <f t="shared" si="25"/>
        <v>0</v>
      </c>
      <c r="P77" s="26">
        <f t="shared" si="25"/>
        <v>0</v>
      </c>
      <c r="Q77" s="26">
        <f t="shared" si="25"/>
        <v>0</v>
      </c>
      <c r="R77" s="26">
        <f t="shared" si="25"/>
        <v>0</v>
      </c>
      <c r="S77" s="26">
        <f t="shared" si="25"/>
        <v>0</v>
      </c>
      <c r="T77" s="26"/>
      <c r="U77" s="26">
        <f t="shared" si="25"/>
        <v>1144314.47</v>
      </c>
      <c r="V77" s="26">
        <f t="shared" si="22"/>
        <v>1672269.8699999999</v>
      </c>
      <c r="W77" s="93"/>
    </row>
    <row r="78" spans="1:22" ht="15">
      <c r="A78" s="27">
        <v>2</v>
      </c>
      <c r="B78" s="1">
        <v>2</v>
      </c>
      <c r="C78" s="1">
        <v>6</v>
      </c>
      <c r="D78" s="1">
        <v>1</v>
      </c>
      <c r="E78" s="52"/>
      <c r="F78" s="78" t="s">
        <v>83</v>
      </c>
      <c r="G78" s="30">
        <v>80000</v>
      </c>
      <c r="H78" s="26"/>
      <c r="I78" s="26"/>
      <c r="J78" s="26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30">
        <f>+H78+I78+J78+K78+L78+M78+N78+O78+P78+Q78+R78+S78</f>
        <v>0</v>
      </c>
      <c r="V78" s="26">
        <f t="shared" si="22"/>
        <v>80000</v>
      </c>
    </row>
    <row r="79" spans="1:22" ht="15">
      <c r="A79" s="27">
        <v>2</v>
      </c>
      <c r="B79" s="1">
        <v>2</v>
      </c>
      <c r="C79" s="1">
        <v>6</v>
      </c>
      <c r="D79" s="1">
        <v>2</v>
      </c>
      <c r="E79" s="52"/>
      <c r="F79" s="78" t="s">
        <v>84</v>
      </c>
      <c r="G79" s="30">
        <v>600000</v>
      </c>
      <c r="H79" s="30">
        <v>0</v>
      </c>
      <c r="I79" s="30">
        <v>0</v>
      </c>
      <c r="J79" s="26"/>
      <c r="K79" s="25">
        <v>10343.89</v>
      </c>
      <c r="L79" s="25">
        <v>9693.61</v>
      </c>
      <c r="M79" s="25"/>
      <c r="N79" s="25"/>
      <c r="O79" s="25"/>
      <c r="P79" s="25"/>
      <c r="Q79" s="25"/>
      <c r="R79" s="25"/>
      <c r="S79" s="25"/>
      <c r="T79" s="25"/>
      <c r="U79" s="30">
        <f>+H79+I79+J79+K79+L79+M79+N79+O79+P79+Q79+R79+S79</f>
        <v>20037.5</v>
      </c>
      <c r="V79" s="26">
        <f t="shared" si="22"/>
        <v>579962.5</v>
      </c>
    </row>
    <row r="80" spans="1:22" ht="15">
      <c r="A80" s="27">
        <v>2</v>
      </c>
      <c r="B80" s="1">
        <v>2</v>
      </c>
      <c r="C80" s="1">
        <v>6</v>
      </c>
      <c r="D80" s="1">
        <v>3</v>
      </c>
      <c r="E80" s="52"/>
      <c r="F80" s="78" t="s">
        <v>85</v>
      </c>
      <c r="G80" s="30">
        <v>2126584.34</v>
      </c>
      <c r="H80" s="30">
        <v>0</v>
      </c>
      <c r="I80" s="30">
        <f>234325.4+13783.44+234325.4+13783.44</f>
        <v>496217.68</v>
      </c>
      <c r="J80" s="30">
        <f>187146.16+15117.17</f>
        <v>202263.33000000002</v>
      </c>
      <c r="K80" s="25">
        <v>14360.75</v>
      </c>
      <c r="L80" s="25">
        <f>205255.71+16906.26</f>
        <v>222161.97</v>
      </c>
      <c r="M80" s="25">
        <f>16906.26+124334.91</f>
        <v>141241.17</v>
      </c>
      <c r="N80" s="25">
        <f>31125.81+16906.26</f>
        <v>48032.07</v>
      </c>
      <c r="O80" s="25">
        <v>0</v>
      </c>
      <c r="P80" s="25">
        <v>0</v>
      </c>
      <c r="Q80" s="25">
        <v>0</v>
      </c>
      <c r="R80" s="25"/>
      <c r="S80" s="25">
        <v>0</v>
      </c>
      <c r="T80" s="25"/>
      <c r="U80" s="30">
        <f>+H80+I80+J80+K80+L80+M80+N80+O80+P80+Q80+R80+S80</f>
        <v>1124276.97</v>
      </c>
      <c r="V80" s="26">
        <f t="shared" si="22"/>
        <v>1002307.3699999999</v>
      </c>
    </row>
    <row r="81" spans="1:22" ht="15">
      <c r="A81" s="27">
        <v>2</v>
      </c>
      <c r="B81" s="33">
        <v>2</v>
      </c>
      <c r="C81" s="33">
        <v>6</v>
      </c>
      <c r="D81" s="33">
        <v>9</v>
      </c>
      <c r="E81" s="59"/>
      <c r="F81" s="78" t="s">
        <v>86</v>
      </c>
      <c r="G81" s="30">
        <v>10000</v>
      </c>
      <c r="H81" s="26"/>
      <c r="I81" s="26"/>
      <c r="J81" s="26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30">
        <f>+H81+I81+J81+K81+L81+M81+N81+O81+P81+Q81+R81+S81</f>
        <v>0</v>
      </c>
      <c r="V81" s="26">
        <f t="shared" si="22"/>
        <v>10000</v>
      </c>
    </row>
    <row r="82" spans="1:22" ht="15.75" thickBot="1">
      <c r="A82" s="27"/>
      <c r="B82" s="36"/>
      <c r="C82" s="36"/>
      <c r="D82" s="36"/>
      <c r="E82" s="60"/>
      <c r="F82" s="78"/>
      <c r="G82" s="26"/>
      <c r="H82" s="30"/>
      <c r="I82" s="30"/>
      <c r="J82" s="30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30">
        <f>+H82+I82+J82+K82+L82+M82+N82+O82+P82+Q82+R82+S82</f>
        <v>0</v>
      </c>
      <c r="V82" s="26">
        <f t="shared" si="22"/>
        <v>0</v>
      </c>
    </row>
    <row r="83" spans="1:23" ht="21">
      <c r="A83" s="27">
        <v>2</v>
      </c>
      <c r="B83" s="24">
        <v>2</v>
      </c>
      <c r="C83" s="24">
        <v>7</v>
      </c>
      <c r="D83" s="34"/>
      <c r="E83" s="57"/>
      <c r="F83" s="80" t="s">
        <v>87</v>
      </c>
      <c r="G83" s="26">
        <f>G84+G88</f>
        <v>955000</v>
      </c>
      <c r="H83" s="26">
        <f>H84+H88</f>
        <v>0</v>
      </c>
      <c r="I83" s="26">
        <f>I84+I88</f>
        <v>19587.25</v>
      </c>
      <c r="J83" s="26">
        <f aca="true" t="shared" si="26" ref="J83:S83">J84+J88</f>
        <v>130672.07</v>
      </c>
      <c r="K83" s="26">
        <f t="shared" si="26"/>
        <v>21239.260000000002</v>
      </c>
      <c r="L83" s="26">
        <f t="shared" si="26"/>
        <v>51829.93000000001</v>
      </c>
      <c r="M83" s="26">
        <f t="shared" si="26"/>
        <v>97467.93999999999</v>
      </c>
      <c r="N83" s="26">
        <f t="shared" si="26"/>
        <v>72073.05</v>
      </c>
      <c r="O83" s="26">
        <f t="shared" si="26"/>
        <v>0</v>
      </c>
      <c r="P83" s="26">
        <f t="shared" si="26"/>
        <v>0</v>
      </c>
      <c r="Q83" s="26">
        <f t="shared" si="26"/>
        <v>0</v>
      </c>
      <c r="R83" s="26">
        <f t="shared" si="26"/>
        <v>0</v>
      </c>
      <c r="S83" s="26">
        <f t="shared" si="26"/>
        <v>0</v>
      </c>
      <c r="T83" s="26"/>
      <c r="U83" s="26">
        <f>U84+U88</f>
        <v>392869.5</v>
      </c>
      <c r="V83" s="26">
        <f t="shared" si="22"/>
        <v>562130.5</v>
      </c>
      <c r="W83" s="93"/>
    </row>
    <row r="84" spans="1:22" ht="15">
      <c r="A84" s="27">
        <v>2</v>
      </c>
      <c r="B84" s="1">
        <v>2</v>
      </c>
      <c r="C84" s="1">
        <v>7</v>
      </c>
      <c r="D84" s="1">
        <v>1</v>
      </c>
      <c r="E84" s="55" t="s">
        <v>18</v>
      </c>
      <c r="F84" s="1" t="s">
        <v>88</v>
      </c>
      <c r="G84" s="26">
        <f>+G85+G86+G87</f>
        <v>465000</v>
      </c>
      <c r="H84" s="26">
        <f aca="true" t="shared" si="27" ref="H84:Q84">H85+H86+H87</f>
        <v>0</v>
      </c>
      <c r="I84" s="26">
        <f t="shared" si="27"/>
        <v>0</v>
      </c>
      <c r="J84" s="26">
        <f t="shared" si="27"/>
        <v>97350</v>
      </c>
      <c r="K84" s="26">
        <f t="shared" si="27"/>
        <v>0</v>
      </c>
      <c r="L84" s="26">
        <f t="shared" si="27"/>
        <v>44475.380000000005</v>
      </c>
      <c r="M84" s="26">
        <f t="shared" si="27"/>
        <v>0</v>
      </c>
      <c r="N84" s="26">
        <f t="shared" si="27"/>
        <v>64900</v>
      </c>
      <c r="O84" s="26">
        <f t="shared" si="27"/>
        <v>0</v>
      </c>
      <c r="P84" s="26">
        <f t="shared" si="27"/>
        <v>0</v>
      </c>
      <c r="Q84" s="26">
        <f t="shared" si="27"/>
        <v>0</v>
      </c>
      <c r="R84" s="26"/>
      <c r="S84" s="26"/>
      <c r="T84" s="26"/>
      <c r="U84" s="26">
        <f>U85+U86+U87</f>
        <v>206725.38</v>
      </c>
      <c r="V84" s="26">
        <f t="shared" si="22"/>
        <v>258274.62</v>
      </c>
    </row>
    <row r="85" spans="1:22" ht="23.25">
      <c r="A85" s="28">
        <v>2</v>
      </c>
      <c r="B85" s="29">
        <v>2</v>
      </c>
      <c r="C85" s="29">
        <v>7</v>
      </c>
      <c r="D85" s="29">
        <v>1</v>
      </c>
      <c r="E85" s="53" t="s">
        <v>22</v>
      </c>
      <c r="F85" s="29" t="s">
        <v>89</v>
      </c>
      <c r="G85" s="30">
        <v>400000</v>
      </c>
      <c r="H85" s="30"/>
      <c r="I85" s="30"/>
      <c r="J85" s="30">
        <f>64900+32450</f>
        <v>97350</v>
      </c>
      <c r="K85" s="25">
        <v>0</v>
      </c>
      <c r="L85" s="25">
        <f>9074.2+35401.18</f>
        <v>44475.380000000005</v>
      </c>
      <c r="M85" s="25">
        <v>0</v>
      </c>
      <c r="N85" s="25">
        <v>64900</v>
      </c>
      <c r="O85" s="25">
        <v>0</v>
      </c>
      <c r="P85" s="25">
        <v>0</v>
      </c>
      <c r="Q85" s="25">
        <v>0</v>
      </c>
      <c r="R85" s="25"/>
      <c r="S85" s="25"/>
      <c r="T85" s="25"/>
      <c r="U85" s="30">
        <f>+H85+I85+J85+K85+L85+M85+N85+O85+P85+Q85+R85+S85</f>
        <v>206725.38</v>
      </c>
      <c r="V85" s="26">
        <f t="shared" si="22"/>
        <v>193274.62</v>
      </c>
    </row>
    <row r="86" spans="1:22" ht="15.75" thickBot="1">
      <c r="A86" s="37">
        <v>2</v>
      </c>
      <c r="B86" s="38">
        <v>2</v>
      </c>
      <c r="C86" s="38">
        <v>7</v>
      </c>
      <c r="D86" s="38">
        <v>1</v>
      </c>
      <c r="E86" s="61" t="s">
        <v>41</v>
      </c>
      <c r="F86" s="29" t="s">
        <v>90</v>
      </c>
      <c r="G86" s="30">
        <v>15000</v>
      </c>
      <c r="H86" s="30">
        <v>0</v>
      </c>
      <c r="I86" s="30">
        <v>0</v>
      </c>
      <c r="J86" s="30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/>
      <c r="S86" s="25"/>
      <c r="T86" s="25"/>
      <c r="U86" s="26">
        <f>+H86+I86+J86+K86+L86+M86+N86+O86+P86+Q86+R86+S86</f>
        <v>0</v>
      </c>
      <c r="V86" s="26">
        <f t="shared" si="22"/>
        <v>15000</v>
      </c>
    </row>
    <row r="87" spans="1:22" ht="23.25">
      <c r="A87" s="39">
        <v>2</v>
      </c>
      <c r="B87" s="34">
        <v>2</v>
      </c>
      <c r="C87" s="34">
        <v>7</v>
      </c>
      <c r="D87" s="34">
        <v>1</v>
      </c>
      <c r="E87" s="62" t="s">
        <v>91</v>
      </c>
      <c r="F87" s="29" t="s">
        <v>92</v>
      </c>
      <c r="G87" s="30">
        <v>50000</v>
      </c>
      <c r="H87" s="30"/>
      <c r="I87" s="30"/>
      <c r="J87" s="30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6">
        <f>+H87+I87+J87+K87+L87+M87+N87+O87+P87+Q87+R87+S87</f>
        <v>0</v>
      </c>
      <c r="V87" s="26">
        <f t="shared" si="22"/>
        <v>50000</v>
      </c>
    </row>
    <row r="88" spans="1:22" ht="22.5">
      <c r="A88" s="27">
        <v>2</v>
      </c>
      <c r="B88" s="1">
        <v>2</v>
      </c>
      <c r="C88" s="1">
        <v>7</v>
      </c>
      <c r="D88" s="1">
        <v>2</v>
      </c>
      <c r="E88" s="52"/>
      <c r="F88" s="1" t="s">
        <v>93</v>
      </c>
      <c r="G88" s="26">
        <f aca="true" t="shared" si="28" ref="G88:Q88">G89+G90+G91+G92</f>
        <v>490000</v>
      </c>
      <c r="H88" s="26">
        <f t="shared" si="28"/>
        <v>0</v>
      </c>
      <c r="I88" s="26">
        <f t="shared" si="28"/>
        <v>19587.25</v>
      </c>
      <c r="J88" s="26">
        <f t="shared" si="28"/>
        <v>33322.07</v>
      </c>
      <c r="K88" s="26">
        <f t="shared" si="28"/>
        <v>21239.260000000002</v>
      </c>
      <c r="L88" s="26">
        <f t="shared" si="28"/>
        <v>7354.55</v>
      </c>
      <c r="M88" s="26">
        <f t="shared" si="28"/>
        <v>97467.93999999999</v>
      </c>
      <c r="N88" s="26">
        <f t="shared" si="28"/>
        <v>7173.05</v>
      </c>
      <c r="O88" s="26">
        <f t="shared" si="28"/>
        <v>0</v>
      </c>
      <c r="P88" s="26">
        <f t="shared" si="28"/>
        <v>0</v>
      </c>
      <c r="Q88" s="26">
        <f t="shared" si="28"/>
        <v>0</v>
      </c>
      <c r="R88" s="26">
        <f>R89+R90+R91+R92</f>
        <v>0</v>
      </c>
      <c r="S88" s="26">
        <f>S89+S90+S91+S92</f>
        <v>0</v>
      </c>
      <c r="T88" s="26"/>
      <c r="U88" s="26">
        <f>U89+U90+U91+U92</f>
        <v>186144.12</v>
      </c>
      <c r="V88" s="26">
        <f t="shared" si="22"/>
        <v>303855.88</v>
      </c>
    </row>
    <row r="89" spans="1:22" ht="23.25">
      <c r="A89" s="28">
        <v>2</v>
      </c>
      <c r="B89" s="29">
        <v>2</v>
      </c>
      <c r="C89" s="29">
        <v>7</v>
      </c>
      <c r="D89" s="29">
        <v>2</v>
      </c>
      <c r="E89" s="53" t="s">
        <v>18</v>
      </c>
      <c r="F89" s="29" t="s">
        <v>94</v>
      </c>
      <c r="G89" s="30">
        <v>15000</v>
      </c>
      <c r="H89" s="30"/>
      <c r="I89" s="30">
        <v>0</v>
      </c>
      <c r="J89" s="30">
        <v>0</v>
      </c>
      <c r="K89" s="25">
        <f>2596+2500+3422</f>
        <v>8518</v>
      </c>
      <c r="L89" s="25">
        <v>0</v>
      </c>
      <c r="M89" s="25">
        <v>4484</v>
      </c>
      <c r="N89" s="25">
        <v>0</v>
      </c>
      <c r="O89" s="25">
        <v>0</v>
      </c>
      <c r="P89" s="25">
        <v>0</v>
      </c>
      <c r="Q89" s="25">
        <v>0</v>
      </c>
      <c r="R89" s="25"/>
      <c r="S89" s="25"/>
      <c r="T89" s="25"/>
      <c r="U89" s="30">
        <f>H89+I89+J89+K89+L89+M89+N89+O89+P89+Q89+R89+S89</f>
        <v>13002</v>
      </c>
      <c r="V89" s="26">
        <f t="shared" si="22"/>
        <v>1998</v>
      </c>
    </row>
    <row r="90" spans="1:22" ht="23.25">
      <c r="A90" s="28">
        <v>2</v>
      </c>
      <c r="B90" s="29">
        <v>2</v>
      </c>
      <c r="C90" s="29">
        <v>7</v>
      </c>
      <c r="D90" s="29">
        <v>2</v>
      </c>
      <c r="E90" s="53" t="s">
        <v>22</v>
      </c>
      <c r="F90" s="29" t="s">
        <v>95</v>
      </c>
      <c r="G90" s="30">
        <v>15000</v>
      </c>
      <c r="H90" s="30"/>
      <c r="I90" s="30">
        <v>0</v>
      </c>
      <c r="J90" s="30"/>
      <c r="K90" s="25"/>
      <c r="L90" s="25">
        <v>0</v>
      </c>
      <c r="M90" s="25">
        <v>1000</v>
      </c>
      <c r="N90" s="25"/>
      <c r="O90" s="25">
        <v>0</v>
      </c>
      <c r="P90" s="25">
        <v>0</v>
      </c>
      <c r="Q90" s="25">
        <v>0</v>
      </c>
      <c r="R90" s="25"/>
      <c r="S90" s="25"/>
      <c r="T90" s="25"/>
      <c r="U90" s="30">
        <f>H90+I90+J90+K90+L90+M90+N90+O90+P90+Q90+R90+S90</f>
        <v>1000</v>
      </c>
      <c r="V90" s="26">
        <f t="shared" si="22"/>
        <v>14000</v>
      </c>
    </row>
    <row r="91" spans="1:22" ht="23.25">
      <c r="A91" s="28">
        <v>2</v>
      </c>
      <c r="B91" s="29">
        <v>2</v>
      </c>
      <c r="C91" s="29">
        <v>7</v>
      </c>
      <c r="D91" s="29">
        <v>2</v>
      </c>
      <c r="E91" s="53" t="s">
        <v>28</v>
      </c>
      <c r="F91" s="29" t="s">
        <v>96</v>
      </c>
      <c r="G91" s="30">
        <v>10000</v>
      </c>
      <c r="H91" s="30"/>
      <c r="I91" s="30"/>
      <c r="J91" s="30">
        <v>0</v>
      </c>
      <c r="K91" s="25"/>
      <c r="L91" s="25"/>
      <c r="M91" s="25">
        <v>0</v>
      </c>
      <c r="N91" s="25"/>
      <c r="O91" s="25"/>
      <c r="P91" s="25"/>
      <c r="Q91" s="25"/>
      <c r="R91" s="25"/>
      <c r="S91" s="25"/>
      <c r="T91" s="25"/>
      <c r="U91" s="30">
        <f>H91+I91+J91+K91+L91+M91+N91+O91+P91+Q91+R91+S91</f>
        <v>0</v>
      </c>
      <c r="V91" s="26">
        <f t="shared" si="22"/>
        <v>10000</v>
      </c>
    </row>
    <row r="92" spans="1:22" ht="23.25">
      <c r="A92" s="28">
        <v>2</v>
      </c>
      <c r="B92" s="29">
        <v>2</v>
      </c>
      <c r="C92" s="29">
        <v>7</v>
      </c>
      <c r="D92" s="29">
        <v>2</v>
      </c>
      <c r="E92" s="53" t="s">
        <v>41</v>
      </c>
      <c r="F92" s="29" t="s">
        <v>97</v>
      </c>
      <c r="G92" s="30">
        <v>450000</v>
      </c>
      <c r="H92" s="30">
        <v>0</v>
      </c>
      <c r="I92" s="30">
        <f>3775+5496.25+10316</f>
        <v>19587.25</v>
      </c>
      <c r="J92" s="30">
        <f>13481+0+3700+5896.28+4053.73+6191.06</f>
        <v>33322.07</v>
      </c>
      <c r="K92" s="25">
        <f>12721.26</f>
        <v>12721.26</v>
      </c>
      <c r="L92" s="25">
        <f>7354.55</f>
        <v>7354.55</v>
      </c>
      <c r="M92" s="25">
        <f>25897.05+14911.7+20240.14+1339.88+8753+1000+12454.12+7388.05</f>
        <v>91983.93999999999</v>
      </c>
      <c r="N92" s="25">
        <f>7173.05</f>
        <v>7173.05</v>
      </c>
      <c r="O92" s="25">
        <v>0</v>
      </c>
      <c r="P92" s="25">
        <v>0</v>
      </c>
      <c r="Q92" s="25">
        <v>0</v>
      </c>
      <c r="R92" s="25"/>
      <c r="S92" s="25">
        <v>0</v>
      </c>
      <c r="T92" s="25"/>
      <c r="U92" s="30">
        <f>H92+I92+J92+K92+L92+M92+N92+O92+P92+Q92+R92+S92</f>
        <v>172142.12</v>
      </c>
      <c r="V92" s="26">
        <f t="shared" si="22"/>
        <v>277857.88</v>
      </c>
    </row>
    <row r="93" spans="1:23" ht="15">
      <c r="A93" s="27">
        <v>2</v>
      </c>
      <c r="B93" s="1">
        <v>2</v>
      </c>
      <c r="C93" s="1">
        <v>8</v>
      </c>
      <c r="D93" s="1"/>
      <c r="E93" s="55"/>
      <c r="F93" s="1" t="s">
        <v>98</v>
      </c>
      <c r="G93" s="26">
        <f>G94+G95+G96+G100+G103+G109</f>
        <v>5550199.88</v>
      </c>
      <c r="H93" s="26">
        <f aca="true" t="shared" si="29" ref="H93:U93">H94+H95+H96+H100+H103+H109</f>
        <v>0</v>
      </c>
      <c r="I93" s="26">
        <f t="shared" si="29"/>
        <v>82000</v>
      </c>
      <c r="J93" s="26">
        <f t="shared" si="29"/>
        <v>345900</v>
      </c>
      <c r="K93" s="26">
        <f t="shared" si="29"/>
        <v>1057100</v>
      </c>
      <c r="L93" s="26">
        <f t="shared" si="29"/>
        <v>38500</v>
      </c>
      <c r="M93" s="26">
        <f t="shared" si="29"/>
        <v>92000</v>
      </c>
      <c r="N93" s="26">
        <f t="shared" si="29"/>
        <v>640192.6</v>
      </c>
      <c r="O93" s="26">
        <f t="shared" si="29"/>
        <v>0</v>
      </c>
      <c r="P93" s="26">
        <f t="shared" si="29"/>
        <v>0</v>
      </c>
      <c r="Q93" s="26">
        <f t="shared" si="29"/>
        <v>0</v>
      </c>
      <c r="R93" s="26"/>
      <c r="S93" s="26"/>
      <c r="T93" s="26"/>
      <c r="U93" s="26">
        <f t="shared" si="29"/>
        <v>2255692.6</v>
      </c>
      <c r="V93" s="26">
        <f t="shared" si="22"/>
        <v>3294507.28</v>
      </c>
      <c r="W93" s="93"/>
    </row>
    <row r="94" spans="1:22" ht="15">
      <c r="A94" s="27">
        <v>2</v>
      </c>
      <c r="B94" s="1">
        <v>2</v>
      </c>
      <c r="C94" s="1">
        <v>8</v>
      </c>
      <c r="D94" s="1">
        <v>1</v>
      </c>
      <c r="E94" s="52"/>
      <c r="F94" s="1" t="s">
        <v>99</v>
      </c>
      <c r="G94" s="30">
        <f>10000-8000</f>
        <v>2000</v>
      </c>
      <c r="H94" s="26"/>
      <c r="I94" s="26"/>
      <c r="J94" s="26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6">
        <f>+H94+I94+J94+K94+L94+M94+N94+O94+P94+Q94+R94+S94</f>
        <v>0</v>
      </c>
      <c r="V94" s="26">
        <f t="shared" si="22"/>
        <v>2000</v>
      </c>
    </row>
    <row r="95" spans="1:22" ht="15">
      <c r="A95" s="27">
        <v>2</v>
      </c>
      <c r="B95" s="1">
        <v>2</v>
      </c>
      <c r="C95" s="1">
        <v>8</v>
      </c>
      <c r="D95" s="1">
        <v>2</v>
      </c>
      <c r="E95" s="52"/>
      <c r="F95" s="1" t="s">
        <v>100</v>
      </c>
      <c r="G95" s="30">
        <v>21361.88</v>
      </c>
      <c r="H95" s="26"/>
      <c r="I95" s="26"/>
      <c r="J95" s="26"/>
      <c r="K95" s="25"/>
      <c r="L95" s="25"/>
      <c r="M95" s="25"/>
      <c r="N95" s="25"/>
      <c r="O95" s="25">
        <v>0</v>
      </c>
      <c r="P95" s="25"/>
      <c r="Q95" s="25"/>
      <c r="R95" s="25"/>
      <c r="S95" s="25"/>
      <c r="T95" s="25"/>
      <c r="U95" s="30">
        <f>+H95+I95+J95+K95+L95+M95+N95+O95+P95+Q95+S95</f>
        <v>0</v>
      </c>
      <c r="V95" s="26">
        <f t="shared" si="22"/>
        <v>21361.88</v>
      </c>
    </row>
    <row r="96" spans="1:22" ht="22.5">
      <c r="A96" s="27">
        <v>2</v>
      </c>
      <c r="B96" s="1">
        <v>2</v>
      </c>
      <c r="C96" s="1">
        <v>8</v>
      </c>
      <c r="D96" s="1">
        <v>5</v>
      </c>
      <c r="E96" s="52"/>
      <c r="F96" s="1" t="s">
        <v>101</v>
      </c>
      <c r="G96" s="26">
        <f>+G97+G98+G99</f>
        <v>12000</v>
      </c>
      <c r="H96" s="26">
        <f>H97+H98+H99</f>
        <v>0</v>
      </c>
      <c r="I96" s="26">
        <f aca="true" t="shared" si="30" ref="I96:O96">I97+I98+I99</f>
        <v>0</v>
      </c>
      <c r="J96" s="26">
        <f t="shared" si="30"/>
        <v>0</v>
      </c>
      <c r="K96" s="26">
        <f t="shared" si="30"/>
        <v>0</v>
      </c>
      <c r="L96" s="26">
        <f t="shared" si="30"/>
        <v>0</v>
      </c>
      <c r="M96" s="26">
        <f t="shared" si="30"/>
        <v>0</v>
      </c>
      <c r="N96" s="26">
        <f t="shared" si="30"/>
        <v>0</v>
      </c>
      <c r="O96" s="26">
        <f t="shared" si="30"/>
        <v>0</v>
      </c>
      <c r="P96" s="26">
        <f>P97+P98+P99</f>
        <v>0</v>
      </c>
      <c r="Q96" s="26">
        <f>Q97+Q98+Q99</f>
        <v>0</v>
      </c>
      <c r="R96" s="26"/>
      <c r="S96" s="26"/>
      <c r="T96" s="26"/>
      <c r="U96" s="26">
        <f>U97+U98+U99</f>
        <v>0</v>
      </c>
      <c r="V96" s="26">
        <f aca="true" t="shared" si="31" ref="V96:V127">G96-U96</f>
        <v>12000</v>
      </c>
    </row>
    <row r="97" spans="1:22" ht="15">
      <c r="A97" s="28">
        <v>2</v>
      </c>
      <c r="B97" s="29">
        <v>2</v>
      </c>
      <c r="C97" s="29">
        <v>8</v>
      </c>
      <c r="D97" s="29">
        <v>5</v>
      </c>
      <c r="E97" s="53" t="s">
        <v>18</v>
      </c>
      <c r="F97" s="29" t="s">
        <v>102</v>
      </c>
      <c r="G97" s="30">
        <v>3000</v>
      </c>
      <c r="H97" s="30"/>
      <c r="I97" s="30"/>
      <c r="J97" s="30"/>
      <c r="K97" s="25"/>
      <c r="L97" s="25"/>
      <c r="M97" s="25"/>
      <c r="N97" s="25"/>
      <c r="O97" s="25">
        <v>0</v>
      </c>
      <c r="P97" s="25"/>
      <c r="Q97" s="25"/>
      <c r="R97" s="25"/>
      <c r="S97" s="25"/>
      <c r="T97" s="25"/>
      <c r="U97" s="26">
        <f>+H97+I97+J97+K97+L97+M97+N97+O97+P97+Q97</f>
        <v>0</v>
      </c>
      <c r="V97" s="26">
        <f t="shared" si="31"/>
        <v>3000</v>
      </c>
    </row>
    <row r="98" spans="1:22" ht="15">
      <c r="A98" s="28">
        <v>2</v>
      </c>
      <c r="B98" s="29">
        <v>2</v>
      </c>
      <c r="C98" s="29">
        <v>8</v>
      </c>
      <c r="D98" s="29">
        <v>5</v>
      </c>
      <c r="E98" s="53" t="s">
        <v>22</v>
      </c>
      <c r="F98" s="29" t="s">
        <v>103</v>
      </c>
      <c r="G98" s="30">
        <f>10000-4000</f>
        <v>6000</v>
      </c>
      <c r="H98" s="30"/>
      <c r="I98" s="30"/>
      <c r="J98" s="30"/>
      <c r="K98" s="25"/>
      <c r="L98" s="25"/>
      <c r="M98" s="25"/>
      <c r="N98" s="25"/>
      <c r="O98" s="25">
        <v>0</v>
      </c>
      <c r="P98" s="25"/>
      <c r="Q98" s="25"/>
      <c r="R98" s="25"/>
      <c r="S98" s="25"/>
      <c r="T98" s="25"/>
      <c r="U98" s="30">
        <f>+H98+I98+K98+O98+P98+Q98+R98+S98</f>
        <v>0</v>
      </c>
      <c r="V98" s="26">
        <f t="shared" si="31"/>
        <v>6000</v>
      </c>
    </row>
    <row r="99" spans="1:22" ht="15">
      <c r="A99" s="28">
        <v>2</v>
      </c>
      <c r="B99" s="29">
        <v>2</v>
      </c>
      <c r="C99" s="29">
        <v>8</v>
      </c>
      <c r="D99" s="29">
        <v>5</v>
      </c>
      <c r="E99" s="53" t="s">
        <v>24</v>
      </c>
      <c r="F99" s="29" t="s">
        <v>104</v>
      </c>
      <c r="G99" s="30">
        <v>3000</v>
      </c>
      <c r="H99" s="30"/>
      <c r="I99" s="30"/>
      <c r="J99" s="30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6">
        <f>+H99+I99+J99+K99+L99+M99+N99+O99+P99+Q99</f>
        <v>0</v>
      </c>
      <c r="V99" s="26">
        <f t="shared" si="31"/>
        <v>3000</v>
      </c>
    </row>
    <row r="100" spans="1:22" ht="15">
      <c r="A100" s="27">
        <v>2</v>
      </c>
      <c r="B100" s="1">
        <v>2</v>
      </c>
      <c r="C100" s="1">
        <v>8</v>
      </c>
      <c r="D100" s="1">
        <v>6</v>
      </c>
      <c r="E100" s="52"/>
      <c r="F100" s="1" t="s">
        <v>105</v>
      </c>
      <c r="G100" s="26">
        <f>+G101+G102</f>
        <v>375000</v>
      </c>
      <c r="H100" s="26">
        <f>H101</f>
        <v>0</v>
      </c>
      <c r="I100" s="26">
        <f>I101</f>
        <v>0</v>
      </c>
      <c r="J100" s="26">
        <f>J101</f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>
        <f>U101+U102</f>
        <v>0</v>
      </c>
      <c r="V100" s="26">
        <f t="shared" si="31"/>
        <v>375000</v>
      </c>
    </row>
    <row r="101" spans="1:22" ht="15">
      <c r="A101" s="28">
        <v>2</v>
      </c>
      <c r="B101" s="29">
        <v>2</v>
      </c>
      <c r="C101" s="29">
        <v>8</v>
      </c>
      <c r="D101" s="29">
        <v>6</v>
      </c>
      <c r="E101" s="53" t="s">
        <v>18</v>
      </c>
      <c r="F101" s="29" t="s">
        <v>106</v>
      </c>
      <c r="G101" s="30">
        <v>300000</v>
      </c>
      <c r="H101" s="30"/>
      <c r="I101" s="30"/>
      <c r="J101" s="30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6">
        <f>+H101+I101+J101+K101+L101+M101+N101+O101+P101+Q101+R101+S101</f>
        <v>0</v>
      </c>
      <c r="V101" s="26">
        <f t="shared" si="31"/>
        <v>300000</v>
      </c>
    </row>
    <row r="102" spans="1:22" ht="15">
      <c r="A102" s="28">
        <v>2</v>
      </c>
      <c r="B102" s="29">
        <v>2</v>
      </c>
      <c r="C102" s="29">
        <v>8</v>
      </c>
      <c r="D102" s="29">
        <v>6</v>
      </c>
      <c r="E102" s="53" t="s">
        <v>22</v>
      </c>
      <c r="F102" s="29" t="s">
        <v>107</v>
      </c>
      <c r="G102" s="30">
        <v>75000</v>
      </c>
      <c r="H102" s="30"/>
      <c r="I102" s="30"/>
      <c r="J102" s="30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6">
        <f>+H102+I102+J102+K102+L102+M102+N102+O102+P102+Q102+R102+S102</f>
        <v>0</v>
      </c>
      <c r="V102" s="26">
        <f t="shared" si="31"/>
        <v>75000</v>
      </c>
    </row>
    <row r="103" spans="1:23" ht="15">
      <c r="A103" s="27">
        <v>2</v>
      </c>
      <c r="B103" s="1">
        <v>2</v>
      </c>
      <c r="C103" s="1">
        <v>8</v>
      </c>
      <c r="D103" s="1">
        <v>7</v>
      </c>
      <c r="E103" s="52"/>
      <c r="F103" s="1" t="s">
        <v>108</v>
      </c>
      <c r="G103" s="26">
        <f aca="true" t="shared" si="32" ref="G103:Q103">G104+G105+G106+G107+G108</f>
        <v>5115838</v>
      </c>
      <c r="H103" s="26">
        <f t="shared" si="32"/>
        <v>0</v>
      </c>
      <c r="I103" s="26">
        <f t="shared" si="32"/>
        <v>82000</v>
      </c>
      <c r="J103" s="26">
        <f t="shared" si="32"/>
        <v>345900</v>
      </c>
      <c r="K103" s="26">
        <f t="shared" si="32"/>
        <v>1057100</v>
      </c>
      <c r="L103" s="26">
        <f t="shared" si="32"/>
        <v>38500</v>
      </c>
      <c r="M103" s="26">
        <f t="shared" si="32"/>
        <v>92000</v>
      </c>
      <c r="N103" s="26">
        <f t="shared" si="32"/>
        <v>640192.6</v>
      </c>
      <c r="O103" s="26">
        <f t="shared" si="32"/>
        <v>0</v>
      </c>
      <c r="P103" s="26">
        <f t="shared" si="32"/>
        <v>0</v>
      </c>
      <c r="Q103" s="26">
        <f t="shared" si="32"/>
        <v>0</v>
      </c>
      <c r="R103" s="26"/>
      <c r="S103" s="26"/>
      <c r="T103" s="26"/>
      <c r="U103" s="26">
        <f>U104+U105+U106+U107+U108</f>
        <v>2255692.6</v>
      </c>
      <c r="V103" s="26">
        <f t="shared" si="31"/>
        <v>2860145.4</v>
      </c>
      <c r="W103" s="93"/>
    </row>
    <row r="104" spans="1:22" ht="23.25">
      <c r="A104" s="28">
        <v>2</v>
      </c>
      <c r="B104" s="29">
        <v>2</v>
      </c>
      <c r="C104" s="29">
        <v>8</v>
      </c>
      <c r="D104" s="29">
        <v>7</v>
      </c>
      <c r="E104" s="53" t="s">
        <v>18</v>
      </c>
      <c r="F104" s="29" t="s">
        <v>109</v>
      </c>
      <c r="G104" s="30">
        <v>0</v>
      </c>
      <c r="H104" s="30">
        <v>0</v>
      </c>
      <c r="I104" s="30">
        <v>0</v>
      </c>
      <c r="J104" s="30"/>
      <c r="K104" s="25"/>
      <c r="L104" s="25"/>
      <c r="M104" s="25">
        <v>0</v>
      </c>
      <c r="N104" s="25"/>
      <c r="O104" s="25">
        <v>0</v>
      </c>
      <c r="P104" s="25">
        <v>0</v>
      </c>
      <c r="Q104" s="25"/>
      <c r="R104" s="25"/>
      <c r="S104" s="25"/>
      <c r="T104" s="25"/>
      <c r="U104" s="30">
        <f>+H104+I104+J104+K104+L104+M104+N104+O104+P104+Q104+R104+S104</f>
        <v>0</v>
      </c>
      <c r="V104" s="26">
        <f t="shared" si="31"/>
        <v>0</v>
      </c>
    </row>
    <row r="105" spans="1:22" ht="15">
      <c r="A105" s="28">
        <v>2</v>
      </c>
      <c r="B105" s="29">
        <v>2</v>
      </c>
      <c r="C105" s="29">
        <v>8</v>
      </c>
      <c r="D105" s="29">
        <v>7</v>
      </c>
      <c r="E105" s="53" t="s">
        <v>22</v>
      </c>
      <c r="F105" s="29" t="s">
        <v>110</v>
      </c>
      <c r="G105" s="30">
        <v>0</v>
      </c>
      <c r="H105" s="30"/>
      <c r="I105" s="30"/>
      <c r="J105" s="30"/>
      <c r="K105" s="25">
        <v>0</v>
      </c>
      <c r="L105" s="25"/>
      <c r="M105" s="25"/>
      <c r="N105" s="25"/>
      <c r="O105" s="25"/>
      <c r="P105" s="25">
        <v>0</v>
      </c>
      <c r="Q105" s="25"/>
      <c r="R105" s="25"/>
      <c r="S105" s="25"/>
      <c r="T105" s="25"/>
      <c r="U105" s="30">
        <f>+H105+I105+J105+K105+L105+M105+N105+O105+P105+Q105+R105+S105</f>
        <v>0</v>
      </c>
      <c r="V105" s="26">
        <f t="shared" si="31"/>
        <v>0</v>
      </c>
    </row>
    <row r="106" spans="1:23" ht="15">
      <c r="A106" s="28">
        <v>2</v>
      </c>
      <c r="B106" s="29">
        <v>2</v>
      </c>
      <c r="C106" s="29">
        <v>8</v>
      </c>
      <c r="D106" s="29">
        <v>7</v>
      </c>
      <c r="E106" s="53" t="s">
        <v>26</v>
      </c>
      <c r="F106" s="29" t="s">
        <v>111</v>
      </c>
      <c r="G106" s="30">
        <v>4405838</v>
      </c>
      <c r="H106" s="30">
        <v>0</v>
      </c>
      <c r="I106" s="30">
        <f>22500+22500</f>
        <v>45000</v>
      </c>
      <c r="J106" s="30">
        <f>22500+249400</f>
        <v>271900</v>
      </c>
      <c r="K106" s="25">
        <f>498800+22500+498800</f>
        <v>1020100</v>
      </c>
      <c r="L106" s="25">
        <v>1500</v>
      </c>
      <c r="M106" s="25">
        <f>27500+27500</f>
        <v>55000</v>
      </c>
      <c r="N106" s="25">
        <f>27500+29925+537767.6+8000</f>
        <v>603192.6</v>
      </c>
      <c r="O106" s="25">
        <v>0</v>
      </c>
      <c r="P106" s="25">
        <v>0</v>
      </c>
      <c r="Q106" s="25">
        <v>0</v>
      </c>
      <c r="R106" s="25"/>
      <c r="S106" s="25"/>
      <c r="T106" s="25"/>
      <c r="U106" s="30">
        <f>+H106+I106+J106+K106+L106+M106+N106+O106+P106+Q106+R106+S106</f>
        <v>1996692.6</v>
      </c>
      <c r="V106" s="26">
        <f t="shared" si="31"/>
        <v>2409145.4</v>
      </c>
      <c r="W106" s="95"/>
    </row>
    <row r="107" spans="1:22" ht="24" thickBot="1">
      <c r="A107" s="37">
        <v>2</v>
      </c>
      <c r="B107" s="38">
        <v>2</v>
      </c>
      <c r="C107" s="38">
        <v>8</v>
      </c>
      <c r="D107" s="38">
        <v>7</v>
      </c>
      <c r="E107" s="61" t="s">
        <v>28</v>
      </c>
      <c r="F107" s="29" t="s">
        <v>112</v>
      </c>
      <c r="G107" s="30">
        <v>10000</v>
      </c>
      <c r="H107" s="30"/>
      <c r="I107" s="30">
        <v>0</v>
      </c>
      <c r="J107" s="30">
        <v>0</v>
      </c>
      <c r="K107" s="25"/>
      <c r="L107" s="25"/>
      <c r="M107" s="25">
        <v>0</v>
      </c>
      <c r="N107" s="25"/>
      <c r="O107" s="25"/>
      <c r="P107" s="25">
        <v>0</v>
      </c>
      <c r="Q107" s="25"/>
      <c r="R107" s="25"/>
      <c r="S107" s="25"/>
      <c r="T107" s="25"/>
      <c r="U107" s="30">
        <f>+H107+I107+J107+K107+L107+M107+N107+O107+P107+Q107+R107+S107</f>
        <v>0</v>
      </c>
      <c r="V107" s="26">
        <f t="shared" si="31"/>
        <v>10000</v>
      </c>
    </row>
    <row r="108" spans="1:22" ht="15">
      <c r="A108" s="39">
        <v>2</v>
      </c>
      <c r="B108" s="34">
        <v>2</v>
      </c>
      <c r="C108" s="34">
        <v>8</v>
      </c>
      <c r="D108" s="34">
        <v>7</v>
      </c>
      <c r="E108" s="62" t="s">
        <v>41</v>
      </c>
      <c r="F108" s="29" t="s">
        <v>113</v>
      </c>
      <c r="G108" s="30">
        <v>700000</v>
      </c>
      <c r="H108" s="30">
        <v>0</v>
      </c>
      <c r="I108" s="30">
        <v>37000</v>
      </c>
      <c r="J108" s="30">
        <f>37000+37000</f>
        <v>74000</v>
      </c>
      <c r="K108" s="25">
        <v>37000</v>
      </c>
      <c r="L108" s="25">
        <v>37000</v>
      </c>
      <c r="M108" s="25">
        <v>37000</v>
      </c>
      <c r="N108" s="25">
        <v>37000</v>
      </c>
      <c r="O108" s="25">
        <v>0</v>
      </c>
      <c r="P108" s="25">
        <v>0</v>
      </c>
      <c r="Q108" s="25">
        <v>0</v>
      </c>
      <c r="R108" s="25"/>
      <c r="S108" s="25"/>
      <c r="T108" s="25"/>
      <c r="U108" s="30">
        <f>+H108+I108+J108+K108+L108+M108+N108+O108+P108+Q108+R108+S108</f>
        <v>259000</v>
      </c>
      <c r="V108" s="26">
        <f t="shared" si="31"/>
        <v>441000</v>
      </c>
    </row>
    <row r="109" spans="1:22" ht="15">
      <c r="A109" s="27">
        <v>2</v>
      </c>
      <c r="B109" s="1">
        <v>2</v>
      </c>
      <c r="C109" s="1">
        <v>8</v>
      </c>
      <c r="D109" s="1">
        <v>8</v>
      </c>
      <c r="E109" s="52"/>
      <c r="F109" s="1" t="s">
        <v>114</v>
      </c>
      <c r="G109" s="26">
        <f aca="true" t="shared" si="33" ref="G109:Q109">G110+G111</f>
        <v>24000</v>
      </c>
      <c r="H109" s="26">
        <f t="shared" si="33"/>
        <v>0</v>
      </c>
      <c r="I109" s="26">
        <f t="shared" si="33"/>
        <v>0</v>
      </c>
      <c r="J109" s="26">
        <f t="shared" si="33"/>
        <v>0</v>
      </c>
      <c r="K109" s="26">
        <f t="shared" si="33"/>
        <v>0</v>
      </c>
      <c r="L109" s="26">
        <f t="shared" si="33"/>
        <v>0</v>
      </c>
      <c r="M109" s="26">
        <f t="shared" si="33"/>
        <v>0</v>
      </c>
      <c r="N109" s="26">
        <f t="shared" si="33"/>
        <v>0</v>
      </c>
      <c r="O109" s="26">
        <f t="shared" si="33"/>
        <v>0</v>
      </c>
      <c r="P109" s="26">
        <f t="shared" si="33"/>
        <v>0</v>
      </c>
      <c r="Q109" s="26">
        <f t="shared" si="33"/>
        <v>0</v>
      </c>
      <c r="R109" s="26"/>
      <c r="S109" s="26"/>
      <c r="T109" s="26"/>
      <c r="U109" s="26">
        <f>U110+U111</f>
        <v>0</v>
      </c>
      <c r="V109" s="26">
        <f t="shared" si="31"/>
        <v>24000</v>
      </c>
    </row>
    <row r="110" spans="1:22" ht="15">
      <c r="A110" s="28">
        <v>2</v>
      </c>
      <c r="B110" s="29">
        <v>2</v>
      </c>
      <c r="C110" s="29">
        <v>8</v>
      </c>
      <c r="D110" s="29">
        <v>8</v>
      </c>
      <c r="E110" s="53" t="s">
        <v>18</v>
      </c>
      <c r="F110" s="29" t="s">
        <v>115</v>
      </c>
      <c r="G110" s="30">
        <v>20000</v>
      </c>
      <c r="H110" s="30"/>
      <c r="I110" s="30"/>
      <c r="J110" s="30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30">
        <f>+S110</f>
        <v>0</v>
      </c>
      <c r="V110" s="26">
        <f t="shared" si="31"/>
        <v>20000</v>
      </c>
    </row>
    <row r="111" spans="1:22" ht="15">
      <c r="A111" s="28">
        <v>2</v>
      </c>
      <c r="B111" s="29">
        <v>2</v>
      </c>
      <c r="C111" s="29">
        <v>8</v>
      </c>
      <c r="D111" s="29">
        <v>8</v>
      </c>
      <c r="E111" s="53" t="s">
        <v>24</v>
      </c>
      <c r="F111" s="29" t="s">
        <v>116</v>
      </c>
      <c r="G111" s="30">
        <v>4000</v>
      </c>
      <c r="H111" s="30"/>
      <c r="I111" s="30"/>
      <c r="J111" s="30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30">
        <f>+H111+I111+J111+K111+L111+M111+N111+O111+P111+Q111+R111+S111</f>
        <v>0</v>
      </c>
      <c r="V111" s="26">
        <f t="shared" si="31"/>
        <v>4000</v>
      </c>
    </row>
    <row r="112" spans="1:22" ht="15.75" thickBot="1">
      <c r="A112" s="40"/>
      <c r="B112" s="41"/>
      <c r="C112" s="41"/>
      <c r="D112" s="41"/>
      <c r="E112" s="56"/>
      <c r="F112" s="1"/>
      <c r="G112" s="30"/>
      <c r="H112" s="30"/>
      <c r="I112" s="30"/>
      <c r="J112" s="30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30">
        <f>+H112+I112+J112+K112+L112+M112+N112+O112+P112+Q112</f>
        <v>0</v>
      </c>
      <c r="V112" s="26">
        <f t="shared" si="31"/>
        <v>0</v>
      </c>
    </row>
    <row r="113" spans="1:22" ht="15.75" thickBot="1">
      <c r="A113" s="21">
        <v>2</v>
      </c>
      <c r="B113" s="22">
        <v>3</v>
      </c>
      <c r="C113" s="22"/>
      <c r="D113" s="22"/>
      <c r="E113" s="51"/>
      <c r="F113" s="1" t="s">
        <v>117</v>
      </c>
      <c r="G113" s="26">
        <f>G115+G123+G127+G133+G136+G141+G145+G155</f>
        <v>3615482.7800000003</v>
      </c>
      <c r="H113" s="26">
        <f>H115+H123+H127+H133+H136+H141+H145+H155</f>
        <v>0</v>
      </c>
      <c r="I113" s="26">
        <f>I115+I123+I127+I133+I136+I141+I145+I155</f>
        <v>364579.41</v>
      </c>
      <c r="J113" s="26">
        <f aca="true" t="shared" si="34" ref="J113:Q113">J115+J123+J127+J133+J136+J141+J145+J155</f>
        <v>333258.1</v>
      </c>
      <c r="K113" s="26">
        <f>K115+K123+K127+K133+K136+K141+K145+K151+K155</f>
        <v>408117.63</v>
      </c>
      <c r="L113" s="26">
        <f t="shared" si="34"/>
        <v>275679.5</v>
      </c>
      <c r="M113" s="26">
        <f t="shared" si="34"/>
        <v>595138.51</v>
      </c>
      <c r="N113" s="26">
        <f t="shared" si="34"/>
        <v>249143.82</v>
      </c>
      <c r="O113" s="26">
        <f t="shared" si="34"/>
        <v>0</v>
      </c>
      <c r="P113" s="26">
        <f t="shared" si="34"/>
        <v>0</v>
      </c>
      <c r="Q113" s="26">
        <f t="shared" si="34"/>
        <v>0</v>
      </c>
      <c r="R113" s="26"/>
      <c r="S113" s="26"/>
      <c r="T113" s="26"/>
      <c r="U113" s="26">
        <f>U115+U123+U127+U133+U136+U141+U145+U151+U155</f>
        <v>2225916.9699999997</v>
      </c>
      <c r="V113" s="26">
        <f t="shared" si="31"/>
        <v>1389565.8100000005</v>
      </c>
    </row>
    <row r="114" spans="1:22" ht="15">
      <c r="A114" s="39"/>
      <c r="B114" s="34"/>
      <c r="C114" s="34"/>
      <c r="D114" s="34"/>
      <c r="E114" s="57"/>
      <c r="F114" s="1"/>
      <c r="G114" s="26"/>
      <c r="H114" s="30"/>
      <c r="I114" s="30"/>
      <c r="J114" s="30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6">
        <f>+H114+I114+J114+K114+L114+M114+N114+O114+P114+Q114</f>
        <v>0</v>
      </c>
      <c r="V114" s="26">
        <f t="shared" si="31"/>
        <v>0</v>
      </c>
    </row>
    <row r="115" spans="1:23" s="69" customFormat="1" ht="15">
      <c r="A115" s="27">
        <v>2</v>
      </c>
      <c r="B115" s="1">
        <v>3</v>
      </c>
      <c r="C115" s="1">
        <v>1</v>
      </c>
      <c r="D115" s="1"/>
      <c r="E115" s="52"/>
      <c r="F115" s="1" t="s">
        <v>118</v>
      </c>
      <c r="G115" s="26">
        <f>G116+G119</f>
        <v>374428</v>
      </c>
      <c r="H115" s="26">
        <f>H116+H119</f>
        <v>0</v>
      </c>
      <c r="I115" s="26">
        <f>I116+I119</f>
        <v>13116.1</v>
      </c>
      <c r="J115" s="26">
        <f>J116+J119</f>
        <v>89778</v>
      </c>
      <c r="K115" s="26">
        <f aca="true" t="shared" si="35" ref="K115:P115">K116+K119</f>
        <v>83072.4</v>
      </c>
      <c r="L115" s="26">
        <f t="shared" si="35"/>
        <v>81184</v>
      </c>
      <c r="M115" s="26">
        <f t="shared" si="35"/>
        <v>192056.8</v>
      </c>
      <c r="N115" s="26">
        <f t="shared" si="35"/>
        <v>60413.8</v>
      </c>
      <c r="O115" s="26">
        <f t="shared" si="35"/>
        <v>0</v>
      </c>
      <c r="P115" s="26">
        <f t="shared" si="35"/>
        <v>0</v>
      </c>
      <c r="Q115" s="26">
        <f>Q116+Q119</f>
        <v>0</v>
      </c>
      <c r="R115" s="26"/>
      <c r="S115" s="26"/>
      <c r="T115" s="26"/>
      <c r="U115" s="26">
        <f>U116+U119</f>
        <v>519621.1</v>
      </c>
      <c r="V115" s="26">
        <f t="shared" si="31"/>
        <v>-145193.09999999998</v>
      </c>
      <c r="W115" s="92"/>
    </row>
    <row r="116" spans="1:22" ht="15">
      <c r="A116" s="27">
        <v>2</v>
      </c>
      <c r="B116" s="1">
        <v>3</v>
      </c>
      <c r="C116" s="1">
        <v>1</v>
      </c>
      <c r="D116" s="1">
        <v>1</v>
      </c>
      <c r="E116" s="52"/>
      <c r="F116" s="1" t="s">
        <v>119</v>
      </c>
      <c r="G116" s="26">
        <f aca="true" t="shared" si="36" ref="G116:Q116">G117</f>
        <v>359428</v>
      </c>
      <c r="H116" s="26">
        <f t="shared" si="36"/>
        <v>0</v>
      </c>
      <c r="I116" s="26">
        <f t="shared" si="36"/>
        <v>13116.1</v>
      </c>
      <c r="J116" s="26">
        <f t="shared" si="36"/>
        <v>89778</v>
      </c>
      <c r="K116" s="26">
        <f t="shared" si="36"/>
        <v>83072.4</v>
      </c>
      <c r="L116" s="26">
        <f t="shared" si="36"/>
        <v>64664</v>
      </c>
      <c r="M116" s="26">
        <f t="shared" si="36"/>
        <v>192056.8</v>
      </c>
      <c r="N116" s="26">
        <f t="shared" si="36"/>
        <v>60413.8</v>
      </c>
      <c r="O116" s="26">
        <f t="shared" si="36"/>
        <v>0</v>
      </c>
      <c r="P116" s="26">
        <f t="shared" si="36"/>
        <v>0</v>
      </c>
      <c r="Q116" s="26">
        <f t="shared" si="36"/>
        <v>0</v>
      </c>
      <c r="R116" s="26"/>
      <c r="S116" s="26"/>
      <c r="T116" s="26"/>
      <c r="U116" s="26">
        <f>U117</f>
        <v>503101.1</v>
      </c>
      <c r="V116" s="26">
        <f t="shared" si="31"/>
        <v>-143673.09999999998</v>
      </c>
    </row>
    <row r="117" spans="1:23" ht="15">
      <c r="A117" s="28">
        <v>2</v>
      </c>
      <c r="B117" s="29">
        <v>3</v>
      </c>
      <c r="C117" s="29">
        <v>1</v>
      </c>
      <c r="D117" s="29">
        <v>1</v>
      </c>
      <c r="E117" s="53" t="s">
        <v>18</v>
      </c>
      <c r="F117" s="29" t="s">
        <v>119</v>
      </c>
      <c r="G117" s="30">
        <v>359428</v>
      </c>
      <c r="H117" s="30"/>
      <c r="I117" s="30">
        <v>13116.1</v>
      </c>
      <c r="J117" s="30">
        <f>43050+46728</f>
        <v>89778</v>
      </c>
      <c r="K117" s="25">
        <f>14042.4+34515+34515</f>
        <v>83072.4</v>
      </c>
      <c r="L117" s="25">
        <v>64664</v>
      </c>
      <c r="M117" s="25">
        <f>51920+116536.8+23600</f>
        <v>192056.8</v>
      </c>
      <c r="N117" s="25">
        <f>10234.3+50179.5</f>
        <v>60413.8</v>
      </c>
      <c r="O117" s="25">
        <v>0</v>
      </c>
      <c r="P117" s="25">
        <v>0</v>
      </c>
      <c r="Q117" s="25">
        <v>0</v>
      </c>
      <c r="R117" s="25"/>
      <c r="S117" s="25"/>
      <c r="T117" s="25"/>
      <c r="U117" s="30">
        <f>+H117+I117+J117+K117+L117+M117+N117+O117+P117+Q117+R117+S117</f>
        <v>503101.1</v>
      </c>
      <c r="V117" s="26">
        <f t="shared" si="31"/>
        <v>-143673.09999999998</v>
      </c>
      <c r="W117" s="95"/>
    </row>
    <row r="118" spans="1:22" ht="15">
      <c r="A118" s="28"/>
      <c r="B118" s="29"/>
      <c r="C118" s="29"/>
      <c r="D118" s="29"/>
      <c r="E118" s="54"/>
      <c r="F118" s="29"/>
      <c r="G118" s="30"/>
      <c r="H118" s="30"/>
      <c r="I118" s="30"/>
      <c r="J118" s="30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30"/>
      <c r="V118" s="26">
        <f t="shared" si="31"/>
        <v>0</v>
      </c>
    </row>
    <row r="119" spans="1:22" ht="15">
      <c r="A119" s="27">
        <v>2</v>
      </c>
      <c r="B119" s="1">
        <v>3</v>
      </c>
      <c r="C119" s="1">
        <v>1</v>
      </c>
      <c r="D119" s="1">
        <v>3</v>
      </c>
      <c r="E119" s="52"/>
      <c r="F119" s="1" t="s">
        <v>120</v>
      </c>
      <c r="G119" s="26">
        <f aca="true" t="shared" si="37" ref="G119:Q119">+G120+G121</f>
        <v>15000</v>
      </c>
      <c r="H119" s="26">
        <f t="shared" si="37"/>
        <v>0</v>
      </c>
      <c r="I119" s="26">
        <f t="shared" si="37"/>
        <v>0</v>
      </c>
      <c r="J119" s="26">
        <f t="shared" si="37"/>
        <v>0</v>
      </c>
      <c r="K119" s="26">
        <f t="shared" si="37"/>
        <v>0</v>
      </c>
      <c r="L119" s="26">
        <f t="shared" si="37"/>
        <v>16520</v>
      </c>
      <c r="M119" s="26">
        <f t="shared" si="37"/>
        <v>0</v>
      </c>
      <c r="N119" s="26">
        <f t="shared" si="37"/>
        <v>0</v>
      </c>
      <c r="O119" s="26">
        <f t="shared" si="37"/>
        <v>0</v>
      </c>
      <c r="P119" s="26">
        <f t="shared" si="37"/>
        <v>0</v>
      </c>
      <c r="Q119" s="26">
        <f t="shared" si="37"/>
        <v>0</v>
      </c>
      <c r="R119" s="26"/>
      <c r="S119" s="26"/>
      <c r="T119" s="26"/>
      <c r="U119" s="26">
        <f>+U120+U121</f>
        <v>16520</v>
      </c>
      <c r="V119" s="26">
        <f t="shared" si="31"/>
        <v>-1520</v>
      </c>
    </row>
    <row r="120" spans="1:22" ht="21">
      <c r="A120" s="27">
        <v>2</v>
      </c>
      <c r="B120" s="1">
        <v>3</v>
      </c>
      <c r="C120" s="1">
        <v>1</v>
      </c>
      <c r="D120" s="1">
        <v>3</v>
      </c>
      <c r="E120" s="52" t="s">
        <v>70</v>
      </c>
      <c r="F120" s="1" t="s">
        <v>205</v>
      </c>
      <c r="G120" s="30">
        <v>0</v>
      </c>
      <c r="H120" s="26"/>
      <c r="I120" s="26"/>
      <c r="J120" s="26"/>
      <c r="K120" s="26"/>
      <c r="L120" s="26"/>
      <c r="M120" s="26"/>
      <c r="N120" s="30">
        <v>0</v>
      </c>
      <c r="O120" s="26"/>
      <c r="P120" s="26"/>
      <c r="Q120" s="26"/>
      <c r="R120" s="26"/>
      <c r="S120" s="26"/>
      <c r="T120" s="26"/>
      <c r="U120" s="30">
        <f>+H120+I120+J120+K120+L120+M120+N120+O120+P120+Q120+R120+S120</f>
        <v>0</v>
      </c>
      <c r="V120" s="26">
        <f t="shared" si="31"/>
        <v>0</v>
      </c>
    </row>
    <row r="121" spans="1:22" ht="15">
      <c r="A121" s="28">
        <v>2</v>
      </c>
      <c r="B121" s="29">
        <v>3</v>
      </c>
      <c r="C121" s="29">
        <v>1</v>
      </c>
      <c r="D121" s="29">
        <v>3</v>
      </c>
      <c r="E121" s="53" t="s">
        <v>24</v>
      </c>
      <c r="F121" s="29" t="s">
        <v>121</v>
      </c>
      <c r="G121" s="30">
        <v>15000</v>
      </c>
      <c r="H121" s="30"/>
      <c r="I121" s="30">
        <v>0</v>
      </c>
      <c r="J121" s="30"/>
      <c r="K121" s="25"/>
      <c r="L121" s="25">
        <v>16520</v>
      </c>
      <c r="M121" s="25"/>
      <c r="N121" s="25">
        <v>0</v>
      </c>
      <c r="O121" s="25"/>
      <c r="P121" s="25"/>
      <c r="Q121" s="25">
        <v>0</v>
      </c>
      <c r="R121" s="25"/>
      <c r="S121" s="25"/>
      <c r="T121" s="25"/>
      <c r="U121" s="30">
        <f>+H121+I121+J121+K121+L121+M121+N121+O121+P121+Q121+R121+S121</f>
        <v>16520</v>
      </c>
      <c r="V121" s="26">
        <f t="shared" si="31"/>
        <v>-1520</v>
      </c>
    </row>
    <row r="122" spans="1:22" ht="15">
      <c r="A122" s="28"/>
      <c r="B122" s="29"/>
      <c r="C122" s="29"/>
      <c r="D122" s="29"/>
      <c r="E122" s="54"/>
      <c r="F122" s="1"/>
      <c r="G122" s="26"/>
      <c r="H122" s="30"/>
      <c r="I122" s="30"/>
      <c r="J122" s="30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30"/>
      <c r="V122" s="26">
        <f t="shared" si="31"/>
        <v>0</v>
      </c>
    </row>
    <row r="123" spans="1:22" ht="15">
      <c r="A123" s="27">
        <v>2</v>
      </c>
      <c r="B123" s="1">
        <v>3</v>
      </c>
      <c r="C123" s="1">
        <v>2</v>
      </c>
      <c r="D123" s="29"/>
      <c r="E123" s="54"/>
      <c r="F123" s="1" t="s">
        <v>122</v>
      </c>
      <c r="G123" s="26">
        <f>+G124+G125</f>
        <v>5000</v>
      </c>
      <c r="H123" s="26">
        <f aca="true" t="shared" si="38" ref="H123:U123">+H124+H125</f>
        <v>0</v>
      </c>
      <c r="I123" s="26">
        <f t="shared" si="38"/>
        <v>0</v>
      </c>
      <c r="J123" s="26">
        <f t="shared" si="38"/>
        <v>0</v>
      </c>
      <c r="K123" s="26">
        <f t="shared" si="38"/>
        <v>0</v>
      </c>
      <c r="L123" s="26">
        <f t="shared" si="38"/>
        <v>0</v>
      </c>
      <c r="M123" s="26">
        <f t="shared" si="38"/>
        <v>0</v>
      </c>
      <c r="N123" s="26">
        <f t="shared" si="38"/>
        <v>0</v>
      </c>
      <c r="O123" s="26">
        <f t="shared" si="38"/>
        <v>0</v>
      </c>
      <c r="P123" s="26">
        <f t="shared" si="38"/>
        <v>0</v>
      </c>
      <c r="Q123" s="26">
        <f t="shared" si="38"/>
        <v>0</v>
      </c>
      <c r="R123" s="26"/>
      <c r="S123" s="26"/>
      <c r="T123" s="26"/>
      <c r="U123" s="26">
        <f t="shared" si="38"/>
        <v>0</v>
      </c>
      <c r="V123" s="26">
        <f t="shared" si="31"/>
        <v>5000</v>
      </c>
    </row>
    <row r="124" spans="1:22" ht="17.25" customHeight="1">
      <c r="A124" s="27">
        <v>2</v>
      </c>
      <c r="B124" s="1">
        <v>3</v>
      </c>
      <c r="C124" s="1">
        <v>2</v>
      </c>
      <c r="D124" s="29">
        <v>2</v>
      </c>
      <c r="E124" s="54" t="s">
        <v>123</v>
      </c>
      <c r="F124" s="29" t="s">
        <v>124</v>
      </c>
      <c r="G124" s="30">
        <v>0</v>
      </c>
      <c r="H124" s="26"/>
      <c r="I124" s="26"/>
      <c r="J124" s="26"/>
      <c r="K124" s="26"/>
      <c r="L124" s="26"/>
      <c r="M124" s="26"/>
      <c r="N124" s="26"/>
      <c r="O124" s="26"/>
      <c r="P124" s="30">
        <v>0</v>
      </c>
      <c r="Q124" s="26"/>
      <c r="R124" s="26"/>
      <c r="S124" s="30"/>
      <c r="T124" s="30"/>
      <c r="U124" s="30">
        <v>0</v>
      </c>
      <c r="V124" s="26">
        <f t="shared" si="31"/>
        <v>0</v>
      </c>
    </row>
    <row r="125" spans="1:22" ht="17.25" customHeight="1">
      <c r="A125" s="28">
        <v>2</v>
      </c>
      <c r="B125" s="29">
        <v>3</v>
      </c>
      <c r="C125" s="29">
        <v>2</v>
      </c>
      <c r="D125" s="29">
        <v>3</v>
      </c>
      <c r="E125" s="54" t="s">
        <v>123</v>
      </c>
      <c r="F125" s="29" t="s">
        <v>125</v>
      </c>
      <c r="G125" s="30">
        <v>5000</v>
      </c>
      <c r="H125" s="30"/>
      <c r="I125" s="30"/>
      <c r="J125" s="30"/>
      <c r="K125" s="25"/>
      <c r="L125" s="25"/>
      <c r="M125" s="25"/>
      <c r="N125" s="25">
        <v>0</v>
      </c>
      <c r="O125" s="25">
        <v>0</v>
      </c>
      <c r="P125" s="25">
        <v>0</v>
      </c>
      <c r="Q125" s="25"/>
      <c r="R125" s="25"/>
      <c r="S125" s="25"/>
      <c r="T125" s="25"/>
      <c r="U125" s="30">
        <f>+H125+I125+J125+K125+L125+M125+N125+O125+P125+Q125+R125+S125</f>
        <v>0</v>
      </c>
      <c r="V125" s="26">
        <f t="shared" si="31"/>
        <v>5000</v>
      </c>
    </row>
    <row r="126" spans="1:22" ht="15">
      <c r="A126" s="28"/>
      <c r="B126" s="29"/>
      <c r="C126" s="29"/>
      <c r="D126" s="29"/>
      <c r="E126" s="54"/>
      <c r="F126" s="1"/>
      <c r="G126" s="26"/>
      <c r="H126" s="30"/>
      <c r="I126" s="30"/>
      <c r="J126" s="30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30">
        <f>+H126+I126+J126+K126+L126+M126+N126+O126+P126+Q126</f>
        <v>0</v>
      </c>
      <c r="V126" s="26">
        <f t="shared" si="31"/>
        <v>0</v>
      </c>
    </row>
    <row r="127" spans="1:23" ht="15">
      <c r="A127" s="27">
        <v>2</v>
      </c>
      <c r="B127" s="1">
        <v>3</v>
      </c>
      <c r="C127" s="1">
        <v>3</v>
      </c>
      <c r="D127" s="29"/>
      <c r="E127" s="54"/>
      <c r="F127" s="1" t="s">
        <v>126</v>
      </c>
      <c r="G127" s="26">
        <f>G128+G129+G130+G131</f>
        <v>155000</v>
      </c>
      <c r="H127" s="26">
        <f aca="true" t="shared" si="39" ref="H127:Q127">H128+H129+H130+H131</f>
        <v>0</v>
      </c>
      <c r="I127" s="26">
        <f t="shared" si="39"/>
        <v>18974.4</v>
      </c>
      <c r="J127" s="26">
        <f t="shared" si="39"/>
        <v>21009.09</v>
      </c>
      <c r="K127" s="26">
        <f t="shared" si="39"/>
        <v>33755.03</v>
      </c>
      <c r="L127" s="26">
        <f t="shared" si="39"/>
        <v>0</v>
      </c>
      <c r="M127" s="26">
        <f t="shared" si="39"/>
        <v>84674.3</v>
      </c>
      <c r="N127" s="26">
        <f t="shared" si="39"/>
        <v>0</v>
      </c>
      <c r="O127" s="26">
        <f t="shared" si="39"/>
        <v>0</v>
      </c>
      <c r="P127" s="26">
        <f t="shared" si="39"/>
        <v>0</v>
      </c>
      <c r="Q127" s="26">
        <f t="shared" si="39"/>
        <v>0</v>
      </c>
      <c r="R127" s="26"/>
      <c r="S127" s="26"/>
      <c r="T127" s="26"/>
      <c r="U127" s="26">
        <f>U128+U129+U130+U131</f>
        <v>158412.82</v>
      </c>
      <c r="V127" s="26">
        <f t="shared" si="31"/>
        <v>-3412.820000000007</v>
      </c>
      <c r="W127" s="91"/>
    </row>
    <row r="128" spans="1:22" ht="14.25" customHeight="1">
      <c r="A128" s="27">
        <v>2</v>
      </c>
      <c r="B128" s="1">
        <v>3</v>
      </c>
      <c r="C128" s="1">
        <v>3</v>
      </c>
      <c r="D128" s="1">
        <v>1</v>
      </c>
      <c r="E128" s="52" t="s">
        <v>123</v>
      </c>
      <c r="F128" s="1" t="s">
        <v>127</v>
      </c>
      <c r="G128" s="30">
        <v>50000</v>
      </c>
      <c r="H128" s="26">
        <v>0</v>
      </c>
      <c r="I128" s="30">
        <v>0</v>
      </c>
      <c r="J128" s="30">
        <v>7136.64</v>
      </c>
      <c r="K128" s="25">
        <v>3973.06</v>
      </c>
      <c r="L128" s="25"/>
      <c r="M128" s="25">
        <f>6667+17110</f>
        <v>23777</v>
      </c>
      <c r="N128" s="25">
        <v>0</v>
      </c>
      <c r="O128" s="25">
        <v>0</v>
      </c>
      <c r="P128" s="25">
        <v>0</v>
      </c>
      <c r="Q128" s="25">
        <v>0</v>
      </c>
      <c r="R128" s="25"/>
      <c r="S128" s="25"/>
      <c r="T128" s="25"/>
      <c r="U128" s="30">
        <f>+H128+I128+J128+K128+L128+M128+N128+O128+P128+Q128+R128+S128</f>
        <v>34886.7</v>
      </c>
      <c r="V128" s="26">
        <f aca="true" t="shared" si="40" ref="V128:V159">G128-U128</f>
        <v>15113.300000000003</v>
      </c>
    </row>
    <row r="129" spans="1:22" ht="17.25" customHeight="1">
      <c r="A129" s="27">
        <v>2</v>
      </c>
      <c r="B129" s="1">
        <v>3</v>
      </c>
      <c r="C129" s="1">
        <v>3</v>
      </c>
      <c r="D129" s="1">
        <v>2</v>
      </c>
      <c r="E129" s="52" t="s">
        <v>70</v>
      </c>
      <c r="F129" s="1" t="s">
        <v>128</v>
      </c>
      <c r="G129" s="30">
        <v>75000</v>
      </c>
      <c r="H129" s="26">
        <v>0</v>
      </c>
      <c r="I129" s="30">
        <v>18974.4</v>
      </c>
      <c r="J129" s="30">
        <v>4130</v>
      </c>
      <c r="K129" s="25">
        <v>18974.4</v>
      </c>
      <c r="L129" s="25">
        <v>0</v>
      </c>
      <c r="M129" s="25">
        <v>1693.3</v>
      </c>
      <c r="N129" s="25">
        <v>0</v>
      </c>
      <c r="O129" s="25">
        <v>0</v>
      </c>
      <c r="P129" s="25">
        <v>0</v>
      </c>
      <c r="Q129" s="25">
        <v>0</v>
      </c>
      <c r="R129" s="25"/>
      <c r="S129" s="25"/>
      <c r="T129" s="25"/>
      <c r="U129" s="30">
        <f>+H129+I129+J129+K129+L129+M129+N129+O129+P129+Q129+R129+S129</f>
        <v>43772.100000000006</v>
      </c>
      <c r="V129" s="26">
        <f t="shared" si="40"/>
        <v>31227.899999999994</v>
      </c>
    </row>
    <row r="130" spans="1:22" ht="17.25" customHeight="1">
      <c r="A130" s="27">
        <v>2</v>
      </c>
      <c r="B130" s="1">
        <v>3</v>
      </c>
      <c r="C130" s="1">
        <v>3</v>
      </c>
      <c r="D130" s="1">
        <v>3</v>
      </c>
      <c r="E130" s="52" t="s">
        <v>70</v>
      </c>
      <c r="F130" s="1" t="s">
        <v>129</v>
      </c>
      <c r="G130" s="30">
        <v>15000</v>
      </c>
      <c r="H130" s="26"/>
      <c r="I130" s="30">
        <v>0</v>
      </c>
      <c r="J130" s="30">
        <v>6042.45</v>
      </c>
      <c r="K130" s="25">
        <v>10807.57</v>
      </c>
      <c r="L130" s="25">
        <v>0</v>
      </c>
      <c r="M130" s="25">
        <v>9204</v>
      </c>
      <c r="N130" s="25">
        <v>0</v>
      </c>
      <c r="O130" s="25">
        <v>0</v>
      </c>
      <c r="P130" s="25"/>
      <c r="Q130" s="25">
        <v>0</v>
      </c>
      <c r="R130" s="25"/>
      <c r="S130" s="25"/>
      <c r="T130" s="25"/>
      <c r="U130" s="30">
        <f>+H130+I130+J130+K130+L130+M130+N130+O130+P130+Q130+R130+S130</f>
        <v>26054.02</v>
      </c>
      <c r="V130" s="26">
        <f t="shared" si="40"/>
        <v>-11054.02</v>
      </c>
    </row>
    <row r="131" spans="1:22" ht="15">
      <c r="A131" s="27">
        <v>2</v>
      </c>
      <c r="B131" s="1">
        <v>3</v>
      </c>
      <c r="C131" s="1">
        <v>3</v>
      </c>
      <c r="D131" s="1">
        <v>4</v>
      </c>
      <c r="E131" s="52"/>
      <c r="F131" s="1" t="s">
        <v>130</v>
      </c>
      <c r="G131" s="30">
        <v>15000</v>
      </c>
      <c r="H131" s="26"/>
      <c r="I131" s="26"/>
      <c r="J131" s="30">
        <v>3700</v>
      </c>
      <c r="K131" s="25"/>
      <c r="L131" s="25"/>
      <c r="M131" s="25">
        <v>50000</v>
      </c>
      <c r="N131" s="25"/>
      <c r="O131" s="25"/>
      <c r="P131" s="25"/>
      <c r="Q131" s="25"/>
      <c r="R131" s="25"/>
      <c r="S131" s="25"/>
      <c r="T131" s="25"/>
      <c r="U131" s="30">
        <f>+H131+I131+J131+K131+L131+M131+N131+O131+P131+Q131+R131+S131</f>
        <v>53700</v>
      </c>
      <c r="V131" s="26">
        <f t="shared" si="40"/>
        <v>-38700</v>
      </c>
    </row>
    <row r="132" spans="1:22" ht="15">
      <c r="A132" s="28"/>
      <c r="B132" s="29"/>
      <c r="C132" s="29"/>
      <c r="D132" s="29"/>
      <c r="E132" s="54"/>
      <c r="F132" s="1"/>
      <c r="G132" s="26"/>
      <c r="H132" s="30"/>
      <c r="I132" s="30"/>
      <c r="J132" s="30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30">
        <f>+H132+I132+J132+K132+L132+M132+N132+O132+P132+Q132+R132+S132</f>
        <v>0</v>
      </c>
      <c r="V132" s="26">
        <f t="shared" si="40"/>
        <v>0</v>
      </c>
    </row>
    <row r="133" spans="1:22" ht="15">
      <c r="A133" s="27">
        <v>2</v>
      </c>
      <c r="B133" s="1">
        <v>3</v>
      </c>
      <c r="C133" s="1">
        <v>4</v>
      </c>
      <c r="D133" s="29"/>
      <c r="E133" s="54"/>
      <c r="F133" s="1" t="s">
        <v>131</v>
      </c>
      <c r="G133" s="26">
        <f>+G134</f>
        <v>18000</v>
      </c>
      <c r="H133" s="26">
        <f aca="true" t="shared" si="41" ref="H133:U133">+H134</f>
        <v>0</v>
      </c>
      <c r="I133" s="26">
        <f t="shared" si="41"/>
        <v>0</v>
      </c>
      <c r="J133" s="26">
        <f t="shared" si="41"/>
        <v>0</v>
      </c>
      <c r="K133" s="26">
        <f t="shared" si="41"/>
        <v>0</v>
      </c>
      <c r="L133" s="26">
        <f t="shared" si="41"/>
        <v>0</v>
      </c>
      <c r="M133" s="26">
        <f t="shared" si="41"/>
        <v>0</v>
      </c>
      <c r="N133" s="26">
        <f t="shared" si="41"/>
        <v>0</v>
      </c>
      <c r="O133" s="26">
        <f t="shared" si="41"/>
        <v>0</v>
      </c>
      <c r="P133" s="26">
        <f t="shared" si="41"/>
        <v>0</v>
      </c>
      <c r="Q133" s="26">
        <f t="shared" si="41"/>
        <v>0</v>
      </c>
      <c r="R133" s="26"/>
      <c r="S133" s="26"/>
      <c r="T133" s="26"/>
      <c r="U133" s="26">
        <f t="shared" si="41"/>
        <v>0</v>
      </c>
      <c r="V133" s="26">
        <f t="shared" si="40"/>
        <v>18000</v>
      </c>
    </row>
    <row r="134" spans="1:22" ht="15">
      <c r="A134" s="27">
        <v>2</v>
      </c>
      <c r="B134" s="1">
        <v>3</v>
      </c>
      <c r="C134" s="1">
        <v>4</v>
      </c>
      <c r="D134" s="1">
        <v>1</v>
      </c>
      <c r="E134" s="52"/>
      <c r="F134" s="29" t="s">
        <v>132</v>
      </c>
      <c r="G134" s="30">
        <v>18000</v>
      </c>
      <c r="H134" s="26"/>
      <c r="I134" s="26"/>
      <c r="J134" s="26"/>
      <c r="K134" s="25"/>
      <c r="L134" s="25"/>
      <c r="M134" s="25"/>
      <c r="N134" s="25"/>
      <c r="O134" s="25">
        <v>0</v>
      </c>
      <c r="P134" s="25">
        <v>0</v>
      </c>
      <c r="Q134" s="25"/>
      <c r="R134" s="25"/>
      <c r="S134" s="25"/>
      <c r="T134" s="25"/>
      <c r="U134" s="30">
        <f>+H134+I134+J134+K134+L134+M134+N134+O134+P134+Q134+R134+S134</f>
        <v>0</v>
      </c>
      <c r="V134" s="26">
        <f t="shared" si="40"/>
        <v>18000</v>
      </c>
    </row>
    <row r="135" spans="1:22" ht="15">
      <c r="A135" s="28"/>
      <c r="B135" s="29"/>
      <c r="C135" s="29"/>
      <c r="D135" s="29"/>
      <c r="E135" s="54"/>
      <c r="F135" s="1"/>
      <c r="G135" s="26"/>
      <c r="H135" s="30"/>
      <c r="I135" s="30"/>
      <c r="J135" s="30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30">
        <f>+H135+I135+J135+K135+L135+M135+N135+O135+P135+Q135</f>
        <v>0</v>
      </c>
      <c r="V135" s="26">
        <f t="shared" si="40"/>
        <v>0</v>
      </c>
    </row>
    <row r="136" spans="1:22" ht="22.5">
      <c r="A136" s="27">
        <v>2</v>
      </c>
      <c r="B136" s="1">
        <v>3</v>
      </c>
      <c r="C136" s="1">
        <v>5</v>
      </c>
      <c r="D136" s="29"/>
      <c r="E136" s="54"/>
      <c r="F136" s="1" t="s">
        <v>133</v>
      </c>
      <c r="G136" s="26">
        <f>G137+G138+G139</f>
        <v>150000</v>
      </c>
      <c r="H136" s="26">
        <f aca="true" t="shared" si="42" ref="H136:U136">H137+H138+H139</f>
        <v>0</v>
      </c>
      <c r="I136" s="26">
        <f t="shared" si="42"/>
        <v>5392.6</v>
      </c>
      <c r="J136" s="26">
        <f t="shared" si="42"/>
        <v>0</v>
      </c>
      <c r="K136" s="26">
        <f t="shared" si="42"/>
        <v>58351</v>
      </c>
      <c r="L136" s="26">
        <f t="shared" si="42"/>
        <v>0</v>
      </c>
      <c r="M136" s="26">
        <f t="shared" si="42"/>
        <v>20473</v>
      </c>
      <c r="N136" s="26">
        <f t="shared" si="42"/>
        <v>2088.6</v>
      </c>
      <c r="O136" s="26">
        <f t="shared" si="42"/>
        <v>0</v>
      </c>
      <c r="P136" s="26">
        <f t="shared" si="42"/>
        <v>0</v>
      </c>
      <c r="Q136" s="26">
        <f t="shared" si="42"/>
        <v>0</v>
      </c>
      <c r="R136" s="26"/>
      <c r="S136" s="26"/>
      <c r="T136" s="26"/>
      <c r="U136" s="26">
        <f t="shared" si="42"/>
        <v>86305.2</v>
      </c>
      <c r="V136" s="26">
        <f t="shared" si="40"/>
        <v>63694.8</v>
      </c>
    </row>
    <row r="137" spans="1:22" ht="15">
      <c r="A137" s="27">
        <v>2</v>
      </c>
      <c r="B137" s="1">
        <v>3</v>
      </c>
      <c r="C137" s="1">
        <v>5</v>
      </c>
      <c r="D137" s="1">
        <v>3</v>
      </c>
      <c r="E137" s="52"/>
      <c r="F137" s="1" t="s">
        <v>134</v>
      </c>
      <c r="G137" s="30">
        <v>125000</v>
      </c>
      <c r="H137" s="26"/>
      <c r="I137" s="26"/>
      <c r="J137" s="26"/>
      <c r="K137" s="25">
        <v>56262.4</v>
      </c>
      <c r="L137" s="25"/>
      <c r="M137" s="25">
        <v>20473</v>
      </c>
      <c r="N137" s="25"/>
      <c r="O137" s="25"/>
      <c r="P137" s="25">
        <v>0</v>
      </c>
      <c r="Q137" s="25"/>
      <c r="R137" s="25"/>
      <c r="S137" s="25"/>
      <c r="T137" s="25"/>
      <c r="U137" s="30">
        <f>+H137+I137+J137+K137+L137+M137+N137+O137+P137+Q137+R137+S137</f>
        <v>76735.4</v>
      </c>
      <c r="V137" s="26">
        <f t="shared" si="40"/>
        <v>48264.600000000006</v>
      </c>
    </row>
    <row r="138" spans="1:22" ht="15">
      <c r="A138" s="27">
        <v>2</v>
      </c>
      <c r="B138" s="1">
        <v>3</v>
      </c>
      <c r="C138" s="1">
        <v>5</v>
      </c>
      <c r="D138" s="1">
        <v>4</v>
      </c>
      <c r="E138" s="52"/>
      <c r="F138" s="1" t="s">
        <v>135</v>
      </c>
      <c r="G138" s="30">
        <v>10000</v>
      </c>
      <c r="H138" s="26"/>
      <c r="I138" s="26"/>
      <c r="J138" s="26"/>
      <c r="K138" s="25"/>
      <c r="L138" s="25"/>
      <c r="M138" s="25"/>
      <c r="N138" s="25"/>
      <c r="O138" s="25"/>
      <c r="P138" s="25">
        <v>0</v>
      </c>
      <c r="Q138" s="25"/>
      <c r="R138" s="25"/>
      <c r="S138" s="25"/>
      <c r="T138" s="25"/>
      <c r="U138" s="30">
        <f>+H138+I138+J138+K138+L138+M138+N138+O138+P138+Q138+R138+S138</f>
        <v>0</v>
      </c>
      <c r="V138" s="26">
        <f t="shared" si="40"/>
        <v>10000</v>
      </c>
    </row>
    <row r="139" spans="1:22" ht="15">
      <c r="A139" s="27">
        <v>2</v>
      </c>
      <c r="B139" s="1">
        <v>3</v>
      </c>
      <c r="C139" s="1">
        <v>5</v>
      </c>
      <c r="D139" s="1">
        <v>5</v>
      </c>
      <c r="E139" s="52"/>
      <c r="F139" s="1" t="s">
        <v>136</v>
      </c>
      <c r="G139" s="30">
        <v>15000</v>
      </c>
      <c r="H139" s="26"/>
      <c r="I139" s="26">
        <f>3304+2088.6</f>
        <v>5392.6</v>
      </c>
      <c r="J139" s="30">
        <v>0</v>
      </c>
      <c r="K139" s="25">
        <v>2088.6</v>
      </c>
      <c r="L139" s="25">
        <v>0</v>
      </c>
      <c r="M139" s="25">
        <v>0</v>
      </c>
      <c r="N139" s="25">
        <v>2088.6</v>
      </c>
      <c r="O139" s="25">
        <v>0</v>
      </c>
      <c r="P139" s="25">
        <v>0</v>
      </c>
      <c r="Q139" s="25"/>
      <c r="R139" s="25"/>
      <c r="S139" s="25"/>
      <c r="T139" s="25"/>
      <c r="U139" s="30">
        <f>+H139+I139+J139+K139+L139+M139+N139+O139+P139+Q139+R139+S139</f>
        <v>9569.800000000001</v>
      </c>
      <c r="V139" s="26">
        <f t="shared" si="40"/>
        <v>5430.199999999999</v>
      </c>
    </row>
    <row r="140" spans="1:22" ht="15">
      <c r="A140" s="28"/>
      <c r="B140" s="29"/>
      <c r="C140" s="29"/>
      <c r="D140" s="29"/>
      <c r="E140" s="54"/>
      <c r="F140" s="29"/>
      <c r="G140" s="30"/>
      <c r="H140" s="30"/>
      <c r="I140" s="30"/>
      <c r="J140" s="30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30">
        <f>+H140+I140+J140+K140+L140+M140+N140+O140+P140+Q140+R140+S140</f>
        <v>0</v>
      </c>
      <c r="V140" s="26">
        <f t="shared" si="40"/>
        <v>0</v>
      </c>
    </row>
    <row r="141" spans="1:22" ht="22.5">
      <c r="A141" s="27">
        <v>2</v>
      </c>
      <c r="B141" s="1">
        <v>3</v>
      </c>
      <c r="C141" s="1">
        <v>6</v>
      </c>
      <c r="D141" s="29"/>
      <c r="E141" s="54"/>
      <c r="F141" s="1" t="s">
        <v>137</v>
      </c>
      <c r="G141" s="26">
        <f>+G142+G143</f>
        <v>3000</v>
      </c>
      <c r="H141" s="26">
        <f aca="true" t="shared" si="43" ref="H141:U141">+H142+H143</f>
        <v>0</v>
      </c>
      <c r="I141" s="26">
        <f t="shared" si="43"/>
        <v>0</v>
      </c>
      <c r="J141" s="26">
        <f t="shared" si="43"/>
        <v>0</v>
      </c>
      <c r="K141" s="26">
        <f t="shared" si="43"/>
        <v>0</v>
      </c>
      <c r="L141" s="26">
        <f t="shared" si="43"/>
        <v>0</v>
      </c>
      <c r="M141" s="26">
        <f t="shared" si="43"/>
        <v>0</v>
      </c>
      <c r="N141" s="26">
        <f t="shared" si="43"/>
        <v>0</v>
      </c>
      <c r="O141" s="26">
        <f t="shared" si="43"/>
        <v>0</v>
      </c>
      <c r="P141" s="26">
        <f t="shared" si="43"/>
        <v>0</v>
      </c>
      <c r="Q141" s="26">
        <f t="shared" si="43"/>
        <v>0</v>
      </c>
      <c r="R141" s="26"/>
      <c r="S141" s="26"/>
      <c r="T141" s="26"/>
      <c r="U141" s="26">
        <f t="shared" si="43"/>
        <v>0</v>
      </c>
      <c r="V141" s="26">
        <f t="shared" si="40"/>
        <v>3000</v>
      </c>
    </row>
    <row r="142" spans="1:22" ht="22.5">
      <c r="A142" s="27">
        <v>2</v>
      </c>
      <c r="B142" s="1">
        <v>3</v>
      </c>
      <c r="C142" s="1">
        <v>6</v>
      </c>
      <c r="D142" s="29">
        <v>1</v>
      </c>
      <c r="E142" s="54"/>
      <c r="F142" s="1" t="s">
        <v>206</v>
      </c>
      <c r="G142" s="30">
        <v>0</v>
      </c>
      <c r="H142" s="26"/>
      <c r="I142" s="26"/>
      <c r="J142" s="26"/>
      <c r="K142" s="26"/>
      <c r="L142" s="26"/>
      <c r="M142" s="26"/>
      <c r="N142" s="26"/>
      <c r="O142" s="30">
        <v>0</v>
      </c>
      <c r="P142" s="26">
        <v>0</v>
      </c>
      <c r="Q142" s="26"/>
      <c r="R142" s="26"/>
      <c r="S142" s="26"/>
      <c r="T142" s="26"/>
      <c r="U142" s="30">
        <f>+O142+R142+S142</f>
        <v>0</v>
      </c>
      <c r="V142" s="26">
        <f t="shared" si="40"/>
        <v>0</v>
      </c>
    </row>
    <row r="143" spans="1:22" ht="15">
      <c r="A143" s="27">
        <v>2</v>
      </c>
      <c r="B143" s="1">
        <v>3</v>
      </c>
      <c r="C143" s="1">
        <v>6</v>
      </c>
      <c r="D143" s="1">
        <v>2</v>
      </c>
      <c r="E143" s="52"/>
      <c r="F143" s="1" t="s">
        <v>138</v>
      </c>
      <c r="G143" s="30">
        <v>3000</v>
      </c>
      <c r="H143" s="26"/>
      <c r="I143" s="26"/>
      <c r="J143" s="26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30">
        <f>+O143+R143+S143</f>
        <v>0</v>
      </c>
      <c r="V143" s="26">
        <f t="shared" si="40"/>
        <v>3000</v>
      </c>
    </row>
    <row r="144" spans="1:22" ht="15">
      <c r="A144" s="28"/>
      <c r="B144" s="29"/>
      <c r="C144" s="29"/>
      <c r="D144" s="29"/>
      <c r="E144" s="54"/>
      <c r="F144" s="1"/>
      <c r="G144" s="26"/>
      <c r="H144" s="30"/>
      <c r="I144" s="30"/>
      <c r="J144" s="30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30"/>
      <c r="V144" s="26">
        <f t="shared" si="40"/>
        <v>0</v>
      </c>
    </row>
    <row r="145" spans="1:23" ht="22.5">
      <c r="A145" s="27">
        <v>2</v>
      </c>
      <c r="B145" s="1">
        <v>3</v>
      </c>
      <c r="C145" s="1">
        <v>7</v>
      </c>
      <c r="D145" s="1"/>
      <c r="E145" s="54"/>
      <c r="F145" s="1" t="s">
        <v>139</v>
      </c>
      <c r="G145" s="26">
        <f>+G146+G151</f>
        <v>2198000</v>
      </c>
      <c r="H145" s="26">
        <f>+H146</f>
        <v>0</v>
      </c>
      <c r="I145" s="26">
        <f>+I146</f>
        <v>309299.55</v>
      </c>
      <c r="J145" s="26">
        <f aca="true" t="shared" si="44" ref="J145:P145">+J146</f>
        <v>178300</v>
      </c>
      <c r="K145" s="26">
        <f t="shared" si="44"/>
        <v>178300</v>
      </c>
      <c r="L145" s="26">
        <f t="shared" si="44"/>
        <v>178300</v>
      </c>
      <c r="M145" s="26">
        <f t="shared" si="44"/>
        <v>178300</v>
      </c>
      <c r="N145" s="26">
        <f t="shared" si="44"/>
        <v>178300</v>
      </c>
      <c r="O145" s="26">
        <f t="shared" si="44"/>
        <v>0</v>
      </c>
      <c r="P145" s="26">
        <f t="shared" si="44"/>
        <v>0</v>
      </c>
      <c r="Q145" s="26">
        <f>+Q146</f>
        <v>0</v>
      </c>
      <c r="R145" s="26">
        <f>+R146</f>
        <v>0</v>
      </c>
      <c r="S145" s="26">
        <f>+S146</f>
        <v>0</v>
      </c>
      <c r="T145" s="26"/>
      <c r="U145" s="26">
        <f>+U146</f>
        <v>1200799.55</v>
      </c>
      <c r="V145" s="26">
        <f t="shared" si="40"/>
        <v>997200.45</v>
      </c>
      <c r="W145" s="101" t="s">
        <v>33</v>
      </c>
    </row>
    <row r="146" spans="1:22" ht="15">
      <c r="A146" s="27">
        <v>2</v>
      </c>
      <c r="B146" s="1">
        <v>3</v>
      </c>
      <c r="C146" s="1">
        <v>7</v>
      </c>
      <c r="D146" s="1">
        <v>1</v>
      </c>
      <c r="E146" s="52"/>
      <c r="F146" s="1" t="s">
        <v>140</v>
      </c>
      <c r="G146" s="26">
        <f>G147+G148+G149+G150</f>
        <v>2158000</v>
      </c>
      <c r="H146" s="26">
        <f aca="true" t="shared" si="45" ref="H146:U146">H147+H148+H149+H150</f>
        <v>0</v>
      </c>
      <c r="I146" s="26">
        <f t="shared" si="45"/>
        <v>309299.55</v>
      </c>
      <c r="J146" s="26">
        <f t="shared" si="45"/>
        <v>178300</v>
      </c>
      <c r="K146" s="26">
        <f t="shared" si="45"/>
        <v>178300</v>
      </c>
      <c r="L146" s="26">
        <f t="shared" si="45"/>
        <v>178300</v>
      </c>
      <c r="M146" s="26">
        <f t="shared" si="45"/>
        <v>178300</v>
      </c>
      <c r="N146" s="26">
        <f t="shared" si="45"/>
        <v>178300</v>
      </c>
      <c r="O146" s="26">
        <f t="shared" si="45"/>
        <v>0</v>
      </c>
      <c r="P146" s="26">
        <f t="shared" si="45"/>
        <v>0</v>
      </c>
      <c r="Q146" s="26">
        <f t="shared" si="45"/>
        <v>0</v>
      </c>
      <c r="R146" s="26">
        <f t="shared" si="45"/>
        <v>0</v>
      </c>
      <c r="S146" s="26">
        <f t="shared" si="45"/>
        <v>0</v>
      </c>
      <c r="T146" s="26"/>
      <c r="U146" s="26">
        <f t="shared" si="45"/>
        <v>1200799.55</v>
      </c>
      <c r="V146" s="26">
        <f t="shared" si="40"/>
        <v>957200.45</v>
      </c>
    </row>
    <row r="147" spans="1:22" ht="15">
      <c r="A147" s="28">
        <v>2</v>
      </c>
      <c r="B147" s="29">
        <v>3</v>
      </c>
      <c r="C147" s="29">
        <v>7</v>
      </c>
      <c r="D147" s="29">
        <v>1</v>
      </c>
      <c r="E147" s="53" t="s">
        <v>18</v>
      </c>
      <c r="F147" s="29" t="s">
        <v>141</v>
      </c>
      <c r="G147" s="30">
        <v>570000</v>
      </c>
      <c r="H147" s="30">
        <v>0</v>
      </c>
      <c r="I147" s="30">
        <f>23000+47500</f>
        <v>70500</v>
      </c>
      <c r="J147" s="30">
        <v>47500</v>
      </c>
      <c r="K147" s="25">
        <v>47500</v>
      </c>
      <c r="L147" s="25">
        <v>47500</v>
      </c>
      <c r="M147" s="25">
        <v>47500</v>
      </c>
      <c r="N147" s="25">
        <v>47500</v>
      </c>
      <c r="O147" s="25">
        <v>0</v>
      </c>
      <c r="P147" s="25">
        <v>0</v>
      </c>
      <c r="Q147" s="25">
        <v>0</v>
      </c>
      <c r="R147" s="25"/>
      <c r="S147" s="25">
        <v>0</v>
      </c>
      <c r="T147" s="25"/>
      <c r="U147" s="30">
        <f>+H147+I147+J147+K147+L147+M147+N147+O147+P147+Q147+R147+S147</f>
        <v>308000</v>
      </c>
      <c r="V147" s="26">
        <f t="shared" si="40"/>
        <v>262000</v>
      </c>
    </row>
    <row r="148" spans="1:22" ht="15">
      <c r="A148" s="28">
        <v>2</v>
      </c>
      <c r="B148" s="29">
        <v>3</v>
      </c>
      <c r="C148" s="29">
        <v>7</v>
      </c>
      <c r="D148" s="29">
        <v>1</v>
      </c>
      <c r="E148" s="53" t="s">
        <v>22</v>
      </c>
      <c r="F148" s="29" t="s">
        <v>142</v>
      </c>
      <c r="G148" s="30">
        <v>1570000</v>
      </c>
      <c r="H148" s="30">
        <v>0</v>
      </c>
      <c r="I148" s="30">
        <f>108000+130799.55</f>
        <v>238799.55</v>
      </c>
      <c r="J148" s="30">
        <v>130800</v>
      </c>
      <c r="K148" s="25">
        <v>130800</v>
      </c>
      <c r="L148" s="25">
        <v>130800</v>
      </c>
      <c r="M148" s="25">
        <v>130800</v>
      </c>
      <c r="N148" s="25">
        <v>130800</v>
      </c>
      <c r="O148" s="25">
        <v>0</v>
      </c>
      <c r="P148" s="25">
        <v>0</v>
      </c>
      <c r="Q148" s="25">
        <v>0</v>
      </c>
      <c r="R148" s="25"/>
      <c r="S148" s="25">
        <v>0</v>
      </c>
      <c r="T148" s="25"/>
      <c r="U148" s="30">
        <f>+H148+I148+J148+K148+L148+M148+N148+O148+P148+Q148+R148+S148</f>
        <v>892799.55</v>
      </c>
      <c r="V148" s="26">
        <f t="shared" si="40"/>
        <v>677200.45</v>
      </c>
    </row>
    <row r="149" spans="1:22" ht="15">
      <c r="A149" s="28">
        <v>2</v>
      </c>
      <c r="B149" s="29">
        <v>3</v>
      </c>
      <c r="C149" s="29">
        <v>7</v>
      </c>
      <c r="D149" s="29">
        <v>1</v>
      </c>
      <c r="E149" s="53" t="s">
        <v>26</v>
      </c>
      <c r="F149" s="29" t="s">
        <v>143</v>
      </c>
      <c r="G149" s="30">
        <v>15000</v>
      </c>
      <c r="H149" s="30"/>
      <c r="I149" s="30"/>
      <c r="J149" s="30">
        <v>0</v>
      </c>
      <c r="K149" s="25"/>
      <c r="L149" s="25"/>
      <c r="M149" s="25"/>
      <c r="N149" s="25"/>
      <c r="O149" s="25">
        <v>0</v>
      </c>
      <c r="P149" s="25">
        <v>0</v>
      </c>
      <c r="Q149" s="25"/>
      <c r="R149" s="25"/>
      <c r="S149" s="25"/>
      <c r="T149" s="25"/>
      <c r="U149" s="30">
        <f>+H149+I149+J149+K149+L149+M149+N149+O149+P149+Q149+R149+S149</f>
        <v>0</v>
      </c>
      <c r="V149" s="26">
        <f t="shared" si="40"/>
        <v>15000</v>
      </c>
    </row>
    <row r="150" spans="1:22" ht="15">
      <c r="A150" s="28">
        <v>2</v>
      </c>
      <c r="B150" s="29">
        <v>3</v>
      </c>
      <c r="C150" s="29">
        <v>7</v>
      </c>
      <c r="D150" s="29">
        <v>1</v>
      </c>
      <c r="E150" s="53" t="s">
        <v>41</v>
      </c>
      <c r="F150" s="29" t="s">
        <v>144</v>
      </c>
      <c r="G150" s="30">
        <v>3000</v>
      </c>
      <c r="H150" s="30"/>
      <c r="I150" s="30"/>
      <c r="J150" s="30"/>
      <c r="K150" s="25"/>
      <c r="L150" s="25"/>
      <c r="M150" s="25"/>
      <c r="N150" s="25"/>
      <c r="O150" s="25">
        <v>0</v>
      </c>
      <c r="P150" s="25"/>
      <c r="Q150" s="25"/>
      <c r="R150" s="25"/>
      <c r="S150" s="25"/>
      <c r="T150" s="25"/>
      <c r="U150" s="30">
        <f>+H150+I150+J150+K150+L150+M150+N150+O150+P150+Q150+R150+S150</f>
        <v>0</v>
      </c>
      <c r="V150" s="26">
        <f t="shared" si="40"/>
        <v>3000</v>
      </c>
    </row>
    <row r="151" spans="1:22" ht="22.5">
      <c r="A151" s="27">
        <v>2</v>
      </c>
      <c r="B151" s="1">
        <v>3</v>
      </c>
      <c r="C151" s="1">
        <v>7</v>
      </c>
      <c r="D151" s="1">
        <v>2</v>
      </c>
      <c r="E151" s="55"/>
      <c r="F151" s="1" t="s">
        <v>93</v>
      </c>
      <c r="G151" s="26">
        <f>+G152+G153</f>
        <v>40000</v>
      </c>
      <c r="H151" s="26">
        <f aca="true" t="shared" si="46" ref="H151:O151">+H152+H153</f>
        <v>0</v>
      </c>
      <c r="I151" s="26">
        <f t="shared" si="46"/>
        <v>0</v>
      </c>
      <c r="J151" s="26">
        <f t="shared" si="46"/>
        <v>0</v>
      </c>
      <c r="K151" s="26">
        <f t="shared" si="46"/>
        <v>3186</v>
      </c>
      <c r="L151" s="26">
        <f t="shared" si="46"/>
        <v>0</v>
      </c>
      <c r="M151" s="26">
        <f t="shared" si="46"/>
        <v>0</v>
      </c>
      <c r="N151" s="26">
        <f t="shared" si="46"/>
        <v>0</v>
      </c>
      <c r="O151" s="26">
        <f t="shared" si="46"/>
        <v>0</v>
      </c>
      <c r="P151" s="26">
        <f>+P152+P153</f>
        <v>0</v>
      </c>
      <c r="Q151" s="26">
        <f>+Q152+Q153</f>
        <v>0</v>
      </c>
      <c r="R151" s="26"/>
      <c r="S151" s="26"/>
      <c r="T151" s="26"/>
      <c r="U151" s="26">
        <f>+U152+U153</f>
        <v>3186</v>
      </c>
      <c r="V151" s="26">
        <f t="shared" si="40"/>
        <v>36814</v>
      </c>
    </row>
    <row r="152" spans="1:22" ht="21.75" customHeight="1">
      <c r="A152" s="28">
        <v>2</v>
      </c>
      <c r="B152" s="29">
        <v>3</v>
      </c>
      <c r="C152" s="29">
        <v>7</v>
      </c>
      <c r="D152" s="29">
        <v>2</v>
      </c>
      <c r="E152" s="53" t="s">
        <v>28</v>
      </c>
      <c r="F152" s="29" t="s">
        <v>145</v>
      </c>
      <c r="G152" s="30">
        <v>0</v>
      </c>
      <c r="H152" s="30"/>
      <c r="I152" s="30"/>
      <c r="J152" s="30">
        <v>0</v>
      </c>
      <c r="K152" s="25"/>
      <c r="L152" s="25"/>
      <c r="M152" s="25">
        <v>0</v>
      </c>
      <c r="N152" s="25"/>
      <c r="O152" s="25"/>
      <c r="P152" s="25"/>
      <c r="Q152" s="25"/>
      <c r="R152" s="25"/>
      <c r="S152" s="25"/>
      <c r="T152" s="25"/>
      <c r="U152" s="30">
        <f>+H152+I152+J152+K152+L152+M152+N152+O152+P152+Q152+R152+S152</f>
        <v>0</v>
      </c>
      <c r="V152" s="26">
        <f t="shared" si="40"/>
        <v>0</v>
      </c>
    </row>
    <row r="153" spans="1:22" ht="15">
      <c r="A153" s="28">
        <v>2</v>
      </c>
      <c r="B153" s="29">
        <v>3</v>
      </c>
      <c r="C153" s="29">
        <v>7</v>
      </c>
      <c r="D153" s="29">
        <v>2</v>
      </c>
      <c r="E153" s="53" t="s">
        <v>41</v>
      </c>
      <c r="F153" s="29" t="s">
        <v>146</v>
      </c>
      <c r="G153" s="30">
        <v>40000</v>
      </c>
      <c r="H153" s="30"/>
      <c r="I153" s="30"/>
      <c r="J153" s="30"/>
      <c r="K153" s="25">
        <v>3186</v>
      </c>
      <c r="L153" s="25"/>
      <c r="M153" s="25"/>
      <c r="N153" s="25"/>
      <c r="O153" s="25">
        <v>0</v>
      </c>
      <c r="P153" s="25">
        <v>0</v>
      </c>
      <c r="Q153" s="25"/>
      <c r="R153" s="25"/>
      <c r="S153" s="25"/>
      <c r="T153" s="25"/>
      <c r="U153" s="30">
        <f>+K153+L153+M153+N153+O153+P153+Q153+S153+T153</f>
        <v>3186</v>
      </c>
      <c r="V153" s="26">
        <f t="shared" si="40"/>
        <v>36814</v>
      </c>
    </row>
    <row r="154" spans="1:22" ht="15">
      <c r="A154" s="28"/>
      <c r="B154" s="29"/>
      <c r="C154" s="29"/>
      <c r="D154" s="29"/>
      <c r="E154" s="53"/>
      <c r="F154" s="29"/>
      <c r="G154" s="30"/>
      <c r="H154" s="30"/>
      <c r="I154" s="30"/>
      <c r="J154" s="30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30"/>
      <c r="V154" s="26">
        <f t="shared" si="40"/>
        <v>0</v>
      </c>
    </row>
    <row r="155" spans="1:23" ht="15">
      <c r="A155" s="27">
        <v>2</v>
      </c>
      <c r="B155" s="1">
        <v>3</v>
      </c>
      <c r="C155" s="1">
        <v>9</v>
      </c>
      <c r="D155" s="29"/>
      <c r="E155" s="54"/>
      <c r="F155" s="1" t="s">
        <v>147</v>
      </c>
      <c r="G155" s="26">
        <f aca="true" t="shared" si="47" ref="G155:Q155">SUM(G156:G164)</f>
        <v>712054.78</v>
      </c>
      <c r="H155" s="26">
        <f t="shared" si="47"/>
        <v>0</v>
      </c>
      <c r="I155" s="26">
        <f t="shared" si="47"/>
        <v>17796.76</v>
      </c>
      <c r="J155" s="26">
        <f t="shared" si="47"/>
        <v>44171.01</v>
      </c>
      <c r="K155" s="26">
        <f t="shared" si="47"/>
        <v>51453.2</v>
      </c>
      <c r="L155" s="26">
        <f t="shared" si="47"/>
        <v>16195.5</v>
      </c>
      <c r="M155" s="26">
        <f t="shared" si="47"/>
        <v>119634.41</v>
      </c>
      <c r="N155" s="26">
        <f t="shared" si="47"/>
        <v>8341.42</v>
      </c>
      <c r="O155" s="26">
        <f t="shared" si="47"/>
        <v>0</v>
      </c>
      <c r="P155" s="26">
        <f t="shared" si="47"/>
        <v>0</v>
      </c>
      <c r="Q155" s="26">
        <f t="shared" si="47"/>
        <v>0</v>
      </c>
      <c r="R155" s="26"/>
      <c r="S155" s="26"/>
      <c r="T155" s="26"/>
      <c r="U155" s="26">
        <f>SUM(U156:U164)</f>
        <v>257592.3</v>
      </c>
      <c r="V155" s="26">
        <f t="shared" si="40"/>
        <v>454462.48000000004</v>
      </c>
      <c r="W155" s="93">
        <f>+U155/G155</f>
        <v>0.36175910510705367</v>
      </c>
    </row>
    <row r="156" spans="1:22" ht="15">
      <c r="A156" s="27">
        <v>2</v>
      </c>
      <c r="B156" s="1">
        <v>3</v>
      </c>
      <c r="C156" s="1">
        <v>9</v>
      </c>
      <c r="D156" s="1">
        <v>1</v>
      </c>
      <c r="E156" s="53" t="s">
        <v>18</v>
      </c>
      <c r="F156" s="1" t="s">
        <v>148</v>
      </c>
      <c r="G156" s="30">
        <v>36810</v>
      </c>
      <c r="H156" s="26"/>
      <c r="I156" s="30">
        <v>2610.16</v>
      </c>
      <c r="J156" s="26"/>
      <c r="K156" s="25">
        <v>0</v>
      </c>
      <c r="L156" s="25">
        <v>0</v>
      </c>
      <c r="M156" s="25">
        <v>0</v>
      </c>
      <c r="N156" s="25">
        <v>5951.92</v>
      </c>
      <c r="O156" s="25">
        <v>0</v>
      </c>
      <c r="P156" s="25"/>
      <c r="Q156" s="25"/>
      <c r="R156" s="25"/>
      <c r="S156" s="25"/>
      <c r="T156" s="25"/>
      <c r="U156" s="30">
        <f aca="true" t="shared" si="48" ref="U156:U164">+H156+I156+J156+K156+L156+M156+N156+O156+P156+Q156+R156+S156</f>
        <v>8562.08</v>
      </c>
      <c r="V156" s="26">
        <f t="shared" si="40"/>
        <v>28247.92</v>
      </c>
    </row>
    <row r="157" spans="1:23" ht="22.5">
      <c r="A157" s="32">
        <v>2</v>
      </c>
      <c r="B157" s="33">
        <v>3</v>
      </c>
      <c r="C157" s="33">
        <v>9</v>
      </c>
      <c r="D157" s="33">
        <v>2</v>
      </c>
      <c r="E157" s="53" t="s">
        <v>18</v>
      </c>
      <c r="F157" s="1" t="s">
        <v>149</v>
      </c>
      <c r="G157" s="30">
        <v>117244.78</v>
      </c>
      <c r="H157" s="26"/>
      <c r="I157" s="30">
        <v>14868</v>
      </c>
      <c r="J157" s="30">
        <v>44171.01</v>
      </c>
      <c r="K157" s="25">
        <f>4076.7+2003.64+2987.26+36780.6</f>
        <v>45848.2</v>
      </c>
      <c r="L157" s="25">
        <v>6165.5</v>
      </c>
      <c r="M157" s="25">
        <f>42509.5+5618.4+3982.5</f>
        <v>52110.4</v>
      </c>
      <c r="N157" s="25">
        <v>2389.5</v>
      </c>
      <c r="O157" s="25">
        <v>0</v>
      </c>
      <c r="P157" s="25">
        <v>0</v>
      </c>
      <c r="Q157" s="25">
        <v>0</v>
      </c>
      <c r="R157" s="25"/>
      <c r="S157" s="25"/>
      <c r="T157" s="25"/>
      <c r="U157" s="30">
        <f t="shared" si="48"/>
        <v>165552.61</v>
      </c>
      <c r="V157" s="26">
        <f t="shared" si="40"/>
        <v>-48307.82999999999</v>
      </c>
      <c r="W157" s="94" t="s">
        <v>199</v>
      </c>
    </row>
    <row r="158" spans="1:22" ht="22.5">
      <c r="A158" s="1">
        <v>2</v>
      </c>
      <c r="B158" s="1">
        <v>3</v>
      </c>
      <c r="C158" s="1">
        <v>9</v>
      </c>
      <c r="D158" s="1">
        <v>4</v>
      </c>
      <c r="E158" s="75"/>
      <c r="F158" s="1" t="s">
        <v>150</v>
      </c>
      <c r="G158" s="30">
        <v>0</v>
      </c>
      <c r="H158" s="26"/>
      <c r="I158" s="26"/>
      <c r="J158" s="26">
        <v>0</v>
      </c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30">
        <f t="shared" si="48"/>
        <v>0</v>
      </c>
      <c r="V158" s="26">
        <f t="shared" si="40"/>
        <v>0</v>
      </c>
    </row>
    <row r="159" spans="1:22" ht="15">
      <c r="A159" s="42">
        <v>2</v>
      </c>
      <c r="B159" s="43">
        <v>3</v>
      </c>
      <c r="C159" s="43">
        <v>9</v>
      </c>
      <c r="D159" s="43">
        <v>5</v>
      </c>
      <c r="E159" s="63"/>
      <c r="F159" s="1" t="s">
        <v>151</v>
      </c>
      <c r="G159" s="30">
        <v>20000</v>
      </c>
      <c r="H159" s="26"/>
      <c r="I159" s="26"/>
      <c r="J159" s="26">
        <v>0</v>
      </c>
      <c r="K159" s="25">
        <v>0</v>
      </c>
      <c r="L159" s="25"/>
      <c r="M159" s="25">
        <v>4175.01</v>
      </c>
      <c r="N159" s="25"/>
      <c r="O159" s="25">
        <v>0</v>
      </c>
      <c r="P159" s="25">
        <v>0</v>
      </c>
      <c r="Q159" s="25"/>
      <c r="R159" s="25"/>
      <c r="S159" s="25"/>
      <c r="T159" s="25"/>
      <c r="U159" s="30">
        <f t="shared" si="48"/>
        <v>4175.01</v>
      </c>
      <c r="V159" s="26">
        <f t="shared" si="40"/>
        <v>15824.99</v>
      </c>
    </row>
    <row r="160" spans="1:22" ht="15">
      <c r="A160" s="32">
        <v>2</v>
      </c>
      <c r="B160" s="33">
        <v>3</v>
      </c>
      <c r="C160" s="33">
        <v>9</v>
      </c>
      <c r="D160" s="33">
        <v>6</v>
      </c>
      <c r="E160" s="64"/>
      <c r="F160" s="1" t="s">
        <v>152</v>
      </c>
      <c r="G160" s="30">
        <v>15000</v>
      </c>
      <c r="H160" s="26"/>
      <c r="I160" s="26"/>
      <c r="J160" s="30">
        <v>0</v>
      </c>
      <c r="K160" s="25">
        <v>5605</v>
      </c>
      <c r="L160" s="25"/>
      <c r="M160" s="25">
        <v>3349</v>
      </c>
      <c r="N160" s="25"/>
      <c r="O160" s="25">
        <v>0</v>
      </c>
      <c r="P160" s="25">
        <v>0</v>
      </c>
      <c r="Q160" s="25"/>
      <c r="R160" s="25"/>
      <c r="S160" s="25"/>
      <c r="T160" s="25"/>
      <c r="U160" s="30">
        <f t="shared" si="48"/>
        <v>8954</v>
      </c>
      <c r="V160" s="26">
        <f aca="true" t="shared" si="49" ref="V160:V191">G160-U160</f>
        <v>6046</v>
      </c>
    </row>
    <row r="161" spans="1:22" ht="15">
      <c r="A161" s="1">
        <v>2</v>
      </c>
      <c r="B161" s="1">
        <v>3</v>
      </c>
      <c r="C161" s="1">
        <v>9</v>
      </c>
      <c r="D161" s="1">
        <v>8</v>
      </c>
      <c r="E161" s="75"/>
      <c r="F161" s="1" t="s">
        <v>153</v>
      </c>
      <c r="G161" s="26">
        <v>0</v>
      </c>
      <c r="H161" s="26">
        <v>0</v>
      </c>
      <c r="I161" s="26">
        <v>0</v>
      </c>
      <c r="J161" s="26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/>
      <c r="S161" s="25"/>
      <c r="T161" s="25"/>
      <c r="U161" s="30">
        <f t="shared" si="48"/>
        <v>0</v>
      </c>
      <c r="V161" s="26">
        <f t="shared" si="49"/>
        <v>0</v>
      </c>
    </row>
    <row r="162" spans="1:22" ht="15">
      <c r="A162" s="1">
        <v>2</v>
      </c>
      <c r="B162" s="1">
        <v>3</v>
      </c>
      <c r="C162" s="1">
        <v>9</v>
      </c>
      <c r="D162" s="1">
        <v>9</v>
      </c>
      <c r="E162" s="75"/>
      <c r="F162" s="1" t="s">
        <v>154</v>
      </c>
      <c r="G162" s="30">
        <v>15000</v>
      </c>
      <c r="H162" s="26"/>
      <c r="I162" s="30">
        <v>318.6</v>
      </c>
      <c r="J162" s="26">
        <v>0</v>
      </c>
      <c r="K162" s="25"/>
      <c r="L162" s="25">
        <v>10030</v>
      </c>
      <c r="M162" s="25"/>
      <c r="N162" s="25"/>
      <c r="O162" s="25"/>
      <c r="P162" s="25">
        <v>0</v>
      </c>
      <c r="Q162" s="25"/>
      <c r="R162" s="25"/>
      <c r="S162" s="25"/>
      <c r="T162" s="25"/>
      <c r="U162" s="30">
        <f t="shared" si="48"/>
        <v>10348.6</v>
      </c>
      <c r="V162" s="26">
        <f t="shared" si="49"/>
        <v>4651.4</v>
      </c>
    </row>
    <row r="163" spans="1:22" ht="22.5">
      <c r="A163" s="44">
        <v>2</v>
      </c>
      <c r="B163" s="43">
        <v>3</v>
      </c>
      <c r="C163" s="43">
        <v>9</v>
      </c>
      <c r="D163" s="43">
        <v>9</v>
      </c>
      <c r="E163" s="53" t="s">
        <v>22</v>
      </c>
      <c r="F163" s="1" t="s">
        <v>155</v>
      </c>
      <c r="G163" s="30">
        <v>508000</v>
      </c>
      <c r="H163" s="26"/>
      <c r="I163" s="26"/>
      <c r="J163" s="26"/>
      <c r="K163" s="25"/>
      <c r="L163" s="25"/>
      <c r="M163" s="25">
        <v>60000</v>
      </c>
      <c r="N163" s="25"/>
      <c r="O163" s="25"/>
      <c r="P163" s="25">
        <v>0</v>
      </c>
      <c r="Q163" s="25"/>
      <c r="R163" s="25"/>
      <c r="S163" s="25"/>
      <c r="T163" s="25"/>
      <c r="U163" s="30">
        <f t="shared" si="48"/>
        <v>60000</v>
      </c>
      <c r="V163" s="26">
        <f t="shared" si="49"/>
        <v>448000</v>
      </c>
    </row>
    <row r="164" spans="1:22" ht="15.75" thickBot="1">
      <c r="A164" s="45">
        <v>2</v>
      </c>
      <c r="B164" s="46">
        <v>3</v>
      </c>
      <c r="C164" s="46">
        <v>9</v>
      </c>
      <c r="D164" s="46">
        <v>9</v>
      </c>
      <c r="E164" s="65">
        <v>0</v>
      </c>
      <c r="F164" s="1" t="s">
        <v>156</v>
      </c>
      <c r="G164" s="30">
        <v>0</v>
      </c>
      <c r="H164" s="26"/>
      <c r="I164" s="26"/>
      <c r="J164" s="26"/>
      <c r="K164" s="30"/>
      <c r="L164" s="30"/>
      <c r="M164" s="30"/>
      <c r="N164" s="30"/>
      <c r="O164" s="30">
        <v>0</v>
      </c>
      <c r="P164" s="30"/>
      <c r="Q164" s="30"/>
      <c r="R164" s="30"/>
      <c r="S164" s="30"/>
      <c r="T164" s="30"/>
      <c r="U164" s="30">
        <f t="shared" si="48"/>
        <v>0</v>
      </c>
      <c r="V164" s="26">
        <f t="shared" si="49"/>
        <v>0</v>
      </c>
    </row>
    <row r="165" spans="1:22" ht="15.75" thickBot="1">
      <c r="A165" s="21">
        <v>2</v>
      </c>
      <c r="B165" s="22">
        <v>4</v>
      </c>
      <c r="C165" s="22"/>
      <c r="D165" s="22"/>
      <c r="E165" s="51"/>
      <c r="F165" s="1" t="s">
        <v>157</v>
      </c>
      <c r="G165" s="26">
        <f>G167</f>
        <v>0</v>
      </c>
      <c r="H165" s="26">
        <f>H167</f>
        <v>0</v>
      </c>
      <c r="I165" s="26">
        <f>I167</f>
        <v>0</v>
      </c>
      <c r="J165" s="26">
        <f>J167</f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30">
        <f>U167</f>
        <v>0</v>
      </c>
      <c r="V165" s="26">
        <f t="shared" si="49"/>
        <v>0</v>
      </c>
    </row>
    <row r="166" spans="1:22" ht="15">
      <c r="A166" s="23"/>
      <c r="B166" s="24"/>
      <c r="C166" s="34"/>
      <c r="D166" s="34"/>
      <c r="E166" s="57"/>
      <c r="F166" s="1"/>
      <c r="G166" s="26"/>
      <c r="H166" s="30"/>
      <c r="I166" s="30"/>
      <c r="J166" s="30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30"/>
      <c r="V166" s="26">
        <f t="shared" si="49"/>
        <v>0</v>
      </c>
    </row>
    <row r="167" spans="1:22" ht="22.5">
      <c r="A167" s="27">
        <v>2</v>
      </c>
      <c r="B167" s="1">
        <v>4</v>
      </c>
      <c r="C167" s="1">
        <v>1</v>
      </c>
      <c r="D167" s="29"/>
      <c r="E167" s="54"/>
      <c r="F167" s="1" t="s">
        <v>158</v>
      </c>
      <c r="G167" s="26">
        <f>G168+G171+G174+G175</f>
        <v>0</v>
      </c>
      <c r="H167" s="26">
        <f>H168+H171+H174+H175</f>
        <v>0</v>
      </c>
      <c r="I167" s="26">
        <f>I168+I171+I174+I175</f>
        <v>0</v>
      </c>
      <c r="J167" s="26">
        <f>J168+J171+J174+J175</f>
        <v>0</v>
      </c>
      <c r="K167" s="26">
        <f>K168+K171+K174+K175</f>
        <v>0</v>
      </c>
      <c r="L167" s="26"/>
      <c r="M167" s="26"/>
      <c r="N167" s="26"/>
      <c r="O167" s="26"/>
      <c r="P167" s="26"/>
      <c r="Q167" s="26"/>
      <c r="R167" s="26"/>
      <c r="S167" s="26"/>
      <c r="T167" s="26"/>
      <c r="U167" s="30">
        <f>U168+U171+U174+U175</f>
        <v>0</v>
      </c>
      <c r="V167" s="26">
        <f t="shared" si="49"/>
        <v>0</v>
      </c>
    </row>
    <row r="168" spans="1:22" ht="15">
      <c r="A168" s="27">
        <v>2</v>
      </c>
      <c r="B168" s="1">
        <v>4</v>
      </c>
      <c r="C168" s="1">
        <v>1</v>
      </c>
      <c r="D168" s="1">
        <v>2</v>
      </c>
      <c r="E168" s="52"/>
      <c r="F168" s="1" t="s">
        <v>159</v>
      </c>
      <c r="G168" s="26">
        <f>G169+G170</f>
        <v>0</v>
      </c>
      <c r="H168" s="26">
        <f>H169+H170</f>
        <v>0</v>
      </c>
      <c r="I168" s="26">
        <f>I169+I170</f>
        <v>0</v>
      </c>
      <c r="J168" s="26">
        <f>J169+J170</f>
        <v>0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30">
        <f>U169+U170</f>
        <v>0</v>
      </c>
      <c r="V168" s="26">
        <f t="shared" si="49"/>
        <v>0</v>
      </c>
    </row>
    <row r="169" spans="1:22" ht="23.25">
      <c r="A169" s="28">
        <v>2</v>
      </c>
      <c r="B169" s="29">
        <v>4</v>
      </c>
      <c r="C169" s="29">
        <v>1</v>
      </c>
      <c r="D169" s="29">
        <v>2</v>
      </c>
      <c r="E169" s="53" t="s">
        <v>18</v>
      </c>
      <c r="F169" s="29" t="s">
        <v>160</v>
      </c>
      <c r="G169" s="30">
        <v>0</v>
      </c>
      <c r="H169" s="30"/>
      <c r="I169" s="30"/>
      <c r="J169" s="30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30">
        <f>+H169+I169+J169+K169+L169+M169+N169+O169+P169+Q169+R169+S169</f>
        <v>0</v>
      </c>
      <c r="V169" s="26">
        <f t="shared" si="49"/>
        <v>0</v>
      </c>
    </row>
    <row r="170" spans="1:22" ht="23.25">
      <c r="A170" s="28">
        <v>2</v>
      </c>
      <c r="B170" s="29">
        <v>4</v>
      </c>
      <c r="C170" s="29">
        <v>1</v>
      </c>
      <c r="D170" s="29">
        <v>2</v>
      </c>
      <c r="E170" s="53" t="s">
        <v>22</v>
      </c>
      <c r="F170" s="29" t="s">
        <v>161</v>
      </c>
      <c r="G170" s="30">
        <v>0</v>
      </c>
      <c r="H170" s="30"/>
      <c r="I170" s="30"/>
      <c r="J170" s="30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30">
        <f>+H170+I170+J170+K170+L170+M170+N170+O170+P170+Q170+R170+S170</f>
        <v>0</v>
      </c>
      <c r="V170" s="26">
        <f t="shared" si="49"/>
        <v>0</v>
      </c>
    </row>
    <row r="171" spans="1:22" ht="15">
      <c r="A171" s="27">
        <v>2</v>
      </c>
      <c r="B171" s="1">
        <v>4</v>
      </c>
      <c r="C171" s="1">
        <v>1</v>
      </c>
      <c r="D171" s="1">
        <v>4</v>
      </c>
      <c r="E171" s="52"/>
      <c r="F171" s="1" t="s">
        <v>162</v>
      </c>
      <c r="G171" s="26">
        <f>G172+G173</f>
        <v>0</v>
      </c>
      <c r="H171" s="26">
        <f>H172+H173</f>
        <v>0</v>
      </c>
      <c r="I171" s="26">
        <f>I172+I173</f>
        <v>0</v>
      </c>
      <c r="J171" s="26">
        <f>J172+J173</f>
        <v>0</v>
      </c>
      <c r="K171" s="26">
        <f>K172+K173</f>
        <v>0</v>
      </c>
      <c r="L171" s="26"/>
      <c r="M171" s="26"/>
      <c r="N171" s="26"/>
      <c r="O171" s="26"/>
      <c r="P171" s="26"/>
      <c r="Q171" s="26"/>
      <c r="R171" s="26"/>
      <c r="S171" s="26"/>
      <c r="T171" s="26"/>
      <c r="U171" s="30">
        <f>U172+U173</f>
        <v>0</v>
      </c>
      <c r="V171" s="26">
        <f t="shared" si="49"/>
        <v>0</v>
      </c>
    </row>
    <row r="172" spans="1:22" ht="15">
      <c r="A172" s="28">
        <v>2</v>
      </c>
      <c r="B172" s="29">
        <v>4</v>
      </c>
      <c r="C172" s="29">
        <v>1</v>
      </c>
      <c r="D172" s="29">
        <v>4</v>
      </c>
      <c r="E172" s="53" t="s">
        <v>18</v>
      </c>
      <c r="F172" s="29" t="s">
        <v>163</v>
      </c>
      <c r="G172" s="30">
        <v>0</v>
      </c>
      <c r="H172" s="30"/>
      <c r="I172" s="30"/>
      <c r="J172" s="30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30">
        <f>+H172+I172+J172+K172+L172+M172+N172+O172+P172+Q172+R172+S172</f>
        <v>0</v>
      </c>
      <c r="V172" s="26">
        <f t="shared" si="49"/>
        <v>0</v>
      </c>
    </row>
    <row r="173" spans="1:22" ht="15">
      <c r="A173" s="28">
        <v>2</v>
      </c>
      <c r="B173" s="29">
        <v>4</v>
      </c>
      <c r="C173" s="29">
        <v>1</v>
      </c>
      <c r="D173" s="29">
        <v>4</v>
      </c>
      <c r="E173" s="53" t="s">
        <v>22</v>
      </c>
      <c r="F173" s="29" t="s">
        <v>164</v>
      </c>
      <c r="G173" s="30">
        <v>0</v>
      </c>
      <c r="H173" s="30">
        <v>0</v>
      </c>
      <c r="I173" s="30">
        <v>0</v>
      </c>
      <c r="J173" s="30">
        <v>0</v>
      </c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30">
        <f>+H173+I173+J173+K173+L173+M173+N173+O173+P173+Q173+R173+S173</f>
        <v>0</v>
      </c>
      <c r="V173" s="26">
        <f t="shared" si="49"/>
        <v>0</v>
      </c>
    </row>
    <row r="174" spans="1:22" ht="22.5">
      <c r="A174" s="27">
        <v>2</v>
      </c>
      <c r="B174" s="1">
        <v>4</v>
      </c>
      <c r="C174" s="1">
        <v>1</v>
      </c>
      <c r="D174" s="1">
        <v>5</v>
      </c>
      <c r="E174" s="52"/>
      <c r="F174" s="1" t="s">
        <v>165</v>
      </c>
      <c r="G174" s="26">
        <v>0</v>
      </c>
      <c r="H174" s="26"/>
      <c r="I174" s="26"/>
      <c r="J174" s="26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30">
        <f>+H174+I174+J174+K174+L174+M174+N174+O174+P174+Q174+R174+S174</f>
        <v>0</v>
      </c>
      <c r="V174" s="26">
        <f t="shared" si="49"/>
        <v>0</v>
      </c>
    </row>
    <row r="175" spans="1:22" ht="22.5">
      <c r="A175" s="27">
        <v>2</v>
      </c>
      <c r="B175" s="1">
        <v>4</v>
      </c>
      <c r="C175" s="1">
        <v>1</v>
      </c>
      <c r="D175" s="1">
        <v>6</v>
      </c>
      <c r="E175" s="52"/>
      <c r="F175" s="1" t="s">
        <v>166</v>
      </c>
      <c r="G175" s="26">
        <f>G176+G177</f>
        <v>0</v>
      </c>
      <c r="H175" s="26">
        <f>H176+H177</f>
        <v>0</v>
      </c>
      <c r="I175" s="26">
        <f>I176+I177</f>
        <v>0</v>
      </c>
      <c r="J175" s="26">
        <f>J176+J177</f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30">
        <f>U176+U177</f>
        <v>0</v>
      </c>
      <c r="V175" s="26">
        <f t="shared" si="49"/>
        <v>0</v>
      </c>
    </row>
    <row r="176" spans="1:22" ht="23.25">
      <c r="A176" s="28">
        <v>2</v>
      </c>
      <c r="B176" s="29">
        <v>4</v>
      </c>
      <c r="C176" s="29">
        <v>1</v>
      </c>
      <c r="D176" s="29">
        <v>6</v>
      </c>
      <c r="E176" s="53" t="s">
        <v>18</v>
      </c>
      <c r="F176" s="29" t="s">
        <v>167</v>
      </c>
      <c r="G176" s="30">
        <v>0</v>
      </c>
      <c r="H176" s="30"/>
      <c r="I176" s="30"/>
      <c r="J176" s="30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30">
        <f>+H176+I176+J176+K176+L176+M176+N176+O176+P176+Q176+R176+S176</f>
        <v>0</v>
      </c>
      <c r="V176" s="26">
        <f t="shared" si="49"/>
        <v>0</v>
      </c>
    </row>
    <row r="177" spans="1:22" ht="23.25">
      <c r="A177" s="28">
        <v>2</v>
      </c>
      <c r="B177" s="29">
        <v>4</v>
      </c>
      <c r="C177" s="29">
        <v>1</v>
      </c>
      <c r="D177" s="29">
        <v>6</v>
      </c>
      <c r="E177" s="53" t="s">
        <v>26</v>
      </c>
      <c r="F177" s="29" t="s">
        <v>168</v>
      </c>
      <c r="G177" s="30">
        <v>0</v>
      </c>
      <c r="H177" s="30"/>
      <c r="I177" s="30"/>
      <c r="J177" s="30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30">
        <f>+H177+I177+J177+K177+L177+M177+N177+O177+P177+Q177+R177+S177</f>
        <v>0</v>
      </c>
      <c r="V177" s="26">
        <f t="shared" si="49"/>
        <v>0</v>
      </c>
    </row>
    <row r="178" spans="1:22" ht="15.75" thickBot="1">
      <c r="A178" s="40"/>
      <c r="B178" s="41"/>
      <c r="C178" s="41"/>
      <c r="D178" s="41"/>
      <c r="E178" s="66"/>
      <c r="F178" s="29"/>
      <c r="G178" s="30"/>
      <c r="H178" s="30"/>
      <c r="I178" s="30"/>
      <c r="J178" s="30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30">
        <f>+H178+I178+J178+K178+L178+M178+N178+O178+P178+Q178+R178</f>
        <v>0</v>
      </c>
      <c r="V178" s="26">
        <f t="shared" si="49"/>
        <v>0</v>
      </c>
    </row>
    <row r="179" spans="1:22" ht="23.25" thickBot="1">
      <c r="A179" s="21">
        <v>2</v>
      </c>
      <c r="B179" s="22">
        <v>6</v>
      </c>
      <c r="C179" s="22"/>
      <c r="D179" s="22"/>
      <c r="E179" s="51"/>
      <c r="F179" s="1" t="s">
        <v>169</v>
      </c>
      <c r="G179" s="26">
        <f>+G181+G187+G191+G194+G199</f>
        <v>339943</v>
      </c>
      <c r="H179" s="26">
        <f aca="true" t="shared" si="50" ref="H179:U179">H181+H187+H208+H191+H194+H205</f>
        <v>0</v>
      </c>
      <c r="I179" s="26">
        <f t="shared" si="50"/>
        <v>0</v>
      </c>
      <c r="J179" s="26">
        <f t="shared" si="50"/>
        <v>0</v>
      </c>
      <c r="K179" s="26">
        <f t="shared" si="50"/>
        <v>0</v>
      </c>
      <c r="L179" s="26">
        <f t="shared" si="50"/>
        <v>44268.82</v>
      </c>
      <c r="M179" s="26">
        <f t="shared" si="50"/>
        <v>0</v>
      </c>
      <c r="N179" s="26">
        <f t="shared" si="50"/>
        <v>4484</v>
      </c>
      <c r="O179" s="26">
        <f t="shared" si="50"/>
        <v>0</v>
      </c>
      <c r="P179" s="26">
        <f t="shared" si="50"/>
        <v>0</v>
      </c>
      <c r="Q179" s="26">
        <f t="shared" si="50"/>
        <v>0</v>
      </c>
      <c r="R179" s="26"/>
      <c r="S179" s="26"/>
      <c r="T179" s="26"/>
      <c r="U179" s="26">
        <f t="shared" si="50"/>
        <v>48752.82</v>
      </c>
      <c r="V179" s="26">
        <f t="shared" si="49"/>
        <v>291190.18</v>
      </c>
    </row>
    <row r="180" spans="1:22" ht="15">
      <c r="A180" s="23"/>
      <c r="B180" s="24"/>
      <c r="C180" s="34"/>
      <c r="D180" s="34"/>
      <c r="E180" s="57"/>
      <c r="F180" s="1"/>
      <c r="G180" s="26"/>
      <c r="H180" s="30"/>
      <c r="I180" s="30"/>
      <c r="J180" s="30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6"/>
      <c r="V180" s="26">
        <f t="shared" si="49"/>
        <v>0</v>
      </c>
    </row>
    <row r="181" spans="1:22" ht="15">
      <c r="A181" s="27">
        <v>2</v>
      </c>
      <c r="B181" s="1">
        <v>6</v>
      </c>
      <c r="C181" s="1">
        <v>1</v>
      </c>
      <c r="D181" s="1"/>
      <c r="E181" s="54"/>
      <c r="F181" s="1" t="s">
        <v>170</v>
      </c>
      <c r="G181" s="26">
        <f>G182+G183+G185+G184</f>
        <v>90000</v>
      </c>
      <c r="H181" s="26">
        <f aca="true" t="shared" si="51" ref="H181:O181">H182+H183+H185+H184</f>
        <v>0</v>
      </c>
      <c r="I181" s="26">
        <f t="shared" si="51"/>
        <v>0</v>
      </c>
      <c r="J181" s="26">
        <f t="shared" si="51"/>
        <v>0</v>
      </c>
      <c r="K181" s="26">
        <f t="shared" si="51"/>
        <v>0</v>
      </c>
      <c r="L181" s="26">
        <f t="shared" si="51"/>
        <v>38370</v>
      </c>
      <c r="M181" s="26">
        <f t="shared" si="51"/>
        <v>0</v>
      </c>
      <c r="N181" s="26">
        <f t="shared" si="51"/>
        <v>4484</v>
      </c>
      <c r="O181" s="26">
        <f t="shared" si="51"/>
        <v>0</v>
      </c>
      <c r="P181" s="26">
        <f>P182+P183+P185+P184</f>
        <v>0</v>
      </c>
      <c r="Q181" s="26">
        <f>Q182+Q183+Q185+Q184</f>
        <v>0</v>
      </c>
      <c r="R181" s="26"/>
      <c r="S181" s="26"/>
      <c r="T181" s="26"/>
      <c r="U181" s="26">
        <f>U182+U183+U185+U184</f>
        <v>42854</v>
      </c>
      <c r="V181" s="26">
        <f t="shared" si="49"/>
        <v>47146</v>
      </c>
    </row>
    <row r="182" spans="1:22" ht="21">
      <c r="A182" s="27">
        <v>2</v>
      </c>
      <c r="B182" s="1">
        <v>6</v>
      </c>
      <c r="C182" s="1">
        <v>1</v>
      </c>
      <c r="D182" s="1">
        <v>1</v>
      </c>
      <c r="E182" s="52" t="s">
        <v>70</v>
      </c>
      <c r="F182" s="1" t="s">
        <v>171</v>
      </c>
      <c r="G182" s="30">
        <v>15000</v>
      </c>
      <c r="H182" s="26"/>
      <c r="I182" s="30">
        <v>0</v>
      </c>
      <c r="J182" s="30">
        <v>0</v>
      </c>
      <c r="K182" s="25"/>
      <c r="L182" s="25">
        <v>0</v>
      </c>
      <c r="M182" s="25">
        <v>0</v>
      </c>
      <c r="N182" s="25">
        <v>4484</v>
      </c>
      <c r="O182" s="25">
        <v>0</v>
      </c>
      <c r="P182" s="25">
        <v>0</v>
      </c>
      <c r="Q182" s="25">
        <v>0</v>
      </c>
      <c r="R182" s="25"/>
      <c r="S182" s="25"/>
      <c r="T182" s="25"/>
      <c r="U182" s="30">
        <f>+H182+I182+J182+K182++N182+L182+M182+P182+Q182+R182+S182+O182</f>
        <v>4484</v>
      </c>
      <c r="V182" s="26">
        <f t="shared" si="49"/>
        <v>10516</v>
      </c>
    </row>
    <row r="183" spans="1:22" ht="21">
      <c r="A183" s="27">
        <v>2</v>
      </c>
      <c r="B183" s="1">
        <v>6</v>
      </c>
      <c r="C183" s="1">
        <v>1</v>
      </c>
      <c r="D183" s="1">
        <v>3</v>
      </c>
      <c r="E183" s="52" t="s">
        <v>70</v>
      </c>
      <c r="F183" s="1" t="s">
        <v>172</v>
      </c>
      <c r="G183" s="30">
        <v>60000</v>
      </c>
      <c r="H183" s="26"/>
      <c r="I183" s="30">
        <v>0</v>
      </c>
      <c r="J183" s="30">
        <v>0</v>
      </c>
      <c r="K183" s="25">
        <v>0</v>
      </c>
      <c r="L183" s="25">
        <v>38370</v>
      </c>
      <c r="M183" s="25"/>
      <c r="N183" s="25"/>
      <c r="O183" s="25"/>
      <c r="P183" s="25"/>
      <c r="Q183" s="25">
        <v>0</v>
      </c>
      <c r="R183" s="25"/>
      <c r="S183" s="25"/>
      <c r="T183" s="25"/>
      <c r="U183" s="30">
        <f>+H183+I183+J183+K183++N183+L183+M183+P183+Q183+R183+S183+O183</f>
        <v>38370</v>
      </c>
      <c r="V183" s="26">
        <f t="shared" si="49"/>
        <v>21630</v>
      </c>
    </row>
    <row r="184" spans="1:22" ht="21">
      <c r="A184" s="27">
        <v>2</v>
      </c>
      <c r="B184" s="1">
        <v>6</v>
      </c>
      <c r="C184" s="1">
        <v>1</v>
      </c>
      <c r="D184" s="1">
        <v>4</v>
      </c>
      <c r="E184" s="52" t="s">
        <v>70</v>
      </c>
      <c r="F184" s="1" t="s">
        <v>173</v>
      </c>
      <c r="G184" s="30">
        <v>8000</v>
      </c>
      <c r="H184" s="26"/>
      <c r="I184" s="26"/>
      <c r="J184" s="26"/>
      <c r="K184" s="25"/>
      <c r="L184" s="25">
        <v>0</v>
      </c>
      <c r="M184" s="25"/>
      <c r="N184" s="25"/>
      <c r="O184" s="25"/>
      <c r="P184" s="25">
        <v>0</v>
      </c>
      <c r="Q184" s="25"/>
      <c r="R184" s="25"/>
      <c r="S184" s="25"/>
      <c r="T184" s="25"/>
      <c r="U184" s="30">
        <f>+H184+I184+J184+K184++N184+L184+M184+P184+Q184+R184+S184+O184</f>
        <v>0</v>
      </c>
      <c r="V184" s="26">
        <f t="shared" si="49"/>
        <v>8000</v>
      </c>
    </row>
    <row r="185" spans="1:22" ht="22.5">
      <c r="A185" s="27">
        <v>2</v>
      </c>
      <c r="B185" s="1">
        <v>6</v>
      </c>
      <c r="C185" s="1">
        <v>1</v>
      </c>
      <c r="D185" s="1">
        <v>9</v>
      </c>
      <c r="E185" s="52"/>
      <c r="F185" s="1" t="s">
        <v>174</v>
      </c>
      <c r="G185" s="30">
        <v>7000</v>
      </c>
      <c r="H185" s="26"/>
      <c r="I185" s="26"/>
      <c r="J185" s="26"/>
      <c r="K185" s="25"/>
      <c r="L185" s="25"/>
      <c r="M185" s="25">
        <v>0</v>
      </c>
      <c r="N185" s="25"/>
      <c r="O185" s="25">
        <v>0</v>
      </c>
      <c r="P185" s="25"/>
      <c r="Q185" s="25"/>
      <c r="R185" s="31"/>
      <c r="S185" s="31"/>
      <c r="T185" s="31"/>
      <c r="U185" s="30">
        <f>+H185+I185+J185+K185+L185+M185+N185+O185+P185+Q185+R185+S185</f>
        <v>0</v>
      </c>
      <c r="V185" s="26">
        <f t="shared" si="49"/>
        <v>7000</v>
      </c>
    </row>
    <row r="186" spans="1:22" ht="15">
      <c r="A186" s="28" t="s">
        <v>33</v>
      </c>
      <c r="B186" s="29" t="s">
        <v>33</v>
      </c>
      <c r="C186" s="29"/>
      <c r="D186" s="29"/>
      <c r="E186" s="54"/>
      <c r="F186" s="29"/>
      <c r="G186" s="26"/>
      <c r="H186" s="30"/>
      <c r="I186" s="30"/>
      <c r="J186" s="30"/>
      <c r="K186" s="25"/>
      <c r="L186" s="25"/>
      <c r="M186" s="25"/>
      <c r="N186" s="25"/>
      <c r="O186" s="25"/>
      <c r="P186" s="31" t="s">
        <v>33</v>
      </c>
      <c r="Q186" s="25"/>
      <c r="R186" s="25"/>
      <c r="S186" s="25"/>
      <c r="T186" s="25"/>
      <c r="U186" s="26"/>
      <c r="V186" s="26">
        <f t="shared" si="49"/>
        <v>0</v>
      </c>
    </row>
    <row r="187" spans="1:22" ht="22.5">
      <c r="A187" s="27">
        <v>2</v>
      </c>
      <c r="B187" s="1">
        <v>6</v>
      </c>
      <c r="C187" s="1">
        <v>2</v>
      </c>
      <c r="D187" s="29"/>
      <c r="E187" s="54"/>
      <c r="F187" s="1" t="s">
        <v>175</v>
      </c>
      <c r="G187" s="26">
        <f>+G189+G188</f>
        <v>0</v>
      </c>
      <c r="H187" s="26">
        <f aca="true" t="shared" si="52" ref="H187:U187">+H189+H188</f>
        <v>0</v>
      </c>
      <c r="I187" s="26">
        <f t="shared" si="52"/>
        <v>0</v>
      </c>
      <c r="J187" s="26">
        <f t="shared" si="52"/>
        <v>0</v>
      </c>
      <c r="K187" s="26">
        <f t="shared" si="52"/>
        <v>0</v>
      </c>
      <c r="L187" s="26">
        <f t="shared" si="52"/>
        <v>0</v>
      </c>
      <c r="M187" s="26">
        <f t="shared" si="52"/>
        <v>0</v>
      </c>
      <c r="N187" s="26">
        <f t="shared" si="52"/>
        <v>0</v>
      </c>
      <c r="O187" s="26">
        <f t="shared" si="52"/>
        <v>0</v>
      </c>
      <c r="P187" s="26">
        <f t="shared" si="52"/>
        <v>0</v>
      </c>
      <c r="Q187" s="26">
        <f t="shared" si="52"/>
        <v>0</v>
      </c>
      <c r="R187" s="26"/>
      <c r="S187" s="26"/>
      <c r="T187" s="26"/>
      <c r="U187" s="26">
        <f t="shared" si="52"/>
        <v>0</v>
      </c>
      <c r="V187" s="26">
        <f t="shared" si="49"/>
        <v>0</v>
      </c>
    </row>
    <row r="188" spans="1:22" ht="15">
      <c r="A188" s="27">
        <v>2</v>
      </c>
      <c r="B188" s="1">
        <v>6</v>
      </c>
      <c r="C188" s="1">
        <v>2</v>
      </c>
      <c r="D188" s="29">
        <v>1</v>
      </c>
      <c r="E188" s="54"/>
      <c r="F188" s="1" t="s">
        <v>207</v>
      </c>
      <c r="G188" s="26"/>
      <c r="H188" s="26"/>
      <c r="I188" s="26"/>
      <c r="J188" s="26"/>
      <c r="K188" s="26"/>
      <c r="L188" s="26"/>
      <c r="M188" s="26"/>
      <c r="N188" s="26"/>
      <c r="O188" s="26"/>
      <c r="P188" s="30">
        <v>0</v>
      </c>
      <c r="Q188" s="26">
        <v>0</v>
      </c>
      <c r="R188" s="30"/>
      <c r="S188" s="26"/>
      <c r="T188" s="26"/>
      <c r="U188" s="30">
        <f>+H188+I188+J188+K188+L188+M188+N188+O188+P188+Q188+R188+S188</f>
        <v>0</v>
      </c>
      <c r="V188" s="26">
        <f t="shared" si="49"/>
        <v>0</v>
      </c>
    </row>
    <row r="189" spans="1:22" ht="15">
      <c r="A189" s="27">
        <v>2</v>
      </c>
      <c r="B189" s="1">
        <v>6</v>
      </c>
      <c r="C189" s="1">
        <v>2</v>
      </c>
      <c r="D189" s="1">
        <v>3</v>
      </c>
      <c r="E189" s="52"/>
      <c r="F189" s="1" t="s">
        <v>176</v>
      </c>
      <c r="G189" s="26">
        <v>0</v>
      </c>
      <c r="H189" s="26"/>
      <c r="I189" s="26"/>
      <c r="J189" s="26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30">
        <f>+H189+I189+J189+K189+L189+M189+N189+O189+P189+Q189+R189+S189</f>
        <v>0</v>
      </c>
      <c r="V189" s="26">
        <f t="shared" si="49"/>
        <v>0</v>
      </c>
    </row>
    <row r="190" spans="1:22" ht="15">
      <c r="A190" s="27"/>
      <c r="B190" s="1"/>
      <c r="C190" s="1"/>
      <c r="D190" s="1"/>
      <c r="E190" s="52"/>
      <c r="F190" s="1"/>
      <c r="G190" s="26"/>
      <c r="H190" s="26"/>
      <c r="I190" s="26"/>
      <c r="J190" s="26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30"/>
      <c r="V190" s="26">
        <f t="shared" si="49"/>
        <v>0</v>
      </c>
    </row>
    <row r="191" spans="1:22" ht="33">
      <c r="A191" s="27">
        <v>2</v>
      </c>
      <c r="B191" s="1">
        <v>6</v>
      </c>
      <c r="C191" s="1">
        <v>4</v>
      </c>
      <c r="D191" s="1"/>
      <c r="E191" s="52"/>
      <c r="F191" s="1" t="s">
        <v>177</v>
      </c>
      <c r="G191" s="26">
        <f aca="true" t="shared" si="53" ref="G191:Q191">+G192</f>
        <v>0</v>
      </c>
      <c r="H191" s="26">
        <f t="shared" si="53"/>
        <v>0</v>
      </c>
      <c r="I191" s="26">
        <f t="shared" si="53"/>
        <v>0</v>
      </c>
      <c r="J191" s="26">
        <f t="shared" si="53"/>
        <v>0</v>
      </c>
      <c r="K191" s="26">
        <f t="shared" si="53"/>
        <v>0</v>
      </c>
      <c r="L191" s="26">
        <f t="shared" si="53"/>
        <v>0</v>
      </c>
      <c r="M191" s="26">
        <f t="shared" si="53"/>
        <v>0</v>
      </c>
      <c r="N191" s="26">
        <f t="shared" si="53"/>
        <v>0</v>
      </c>
      <c r="O191" s="26">
        <f t="shared" si="53"/>
        <v>0</v>
      </c>
      <c r="P191" s="26">
        <f t="shared" si="53"/>
        <v>0</v>
      </c>
      <c r="Q191" s="26">
        <f t="shared" si="53"/>
        <v>0</v>
      </c>
      <c r="R191" s="26"/>
      <c r="S191" s="26"/>
      <c r="T191" s="26"/>
      <c r="U191" s="26">
        <f>+U192</f>
        <v>0</v>
      </c>
      <c r="V191" s="26">
        <f t="shared" si="49"/>
        <v>0</v>
      </c>
    </row>
    <row r="192" spans="1:22" ht="15">
      <c r="A192" s="28">
        <v>2</v>
      </c>
      <c r="B192" s="29">
        <v>6</v>
      </c>
      <c r="C192" s="29">
        <v>4</v>
      </c>
      <c r="D192" s="29">
        <v>1</v>
      </c>
      <c r="E192" s="66"/>
      <c r="F192" s="29" t="s">
        <v>178</v>
      </c>
      <c r="G192" s="30">
        <v>0</v>
      </c>
      <c r="H192" s="26"/>
      <c r="I192" s="26"/>
      <c r="J192" s="26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30">
        <f>+H192+I192+J192+K192+L192+M192+N192+O192+P192+Q192+R192+S192</f>
        <v>0</v>
      </c>
      <c r="V192" s="26">
        <f aca="true" t="shared" si="54" ref="V192:V197">G192-U192</f>
        <v>0</v>
      </c>
    </row>
    <row r="193" spans="1:22" ht="15">
      <c r="A193" s="28"/>
      <c r="B193" s="29"/>
      <c r="C193" s="29"/>
      <c r="D193" s="29"/>
      <c r="E193" s="54"/>
      <c r="F193" s="29"/>
      <c r="G193" s="30"/>
      <c r="H193" s="30"/>
      <c r="I193" s="30"/>
      <c r="J193" s="30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30"/>
      <c r="V193" s="26">
        <f t="shared" si="54"/>
        <v>0</v>
      </c>
    </row>
    <row r="194" spans="1:22" ht="22.5">
      <c r="A194" s="27">
        <v>2</v>
      </c>
      <c r="B194" s="1">
        <v>6</v>
      </c>
      <c r="C194" s="1">
        <v>5</v>
      </c>
      <c r="D194" s="29"/>
      <c r="E194" s="54"/>
      <c r="F194" s="1" t="s">
        <v>179</v>
      </c>
      <c r="G194" s="26">
        <f>+G195+G196</f>
        <v>90000</v>
      </c>
      <c r="H194" s="26">
        <f aca="true" t="shared" si="55" ref="H194:Q194">+H195+H196</f>
        <v>0</v>
      </c>
      <c r="I194" s="26">
        <f t="shared" si="55"/>
        <v>0</v>
      </c>
      <c r="J194" s="26">
        <f t="shared" si="55"/>
        <v>0</v>
      </c>
      <c r="K194" s="26">
        <f t="shared" si="55"/>
        <v>0</v>
      </c>
      <c r="L194" s="26">
        <f>+L195+L196+L198</f>
        <v>5898.82</v>
      </c>
      <c r="M194" s="26">
        <f t="shared" si="55"/>
        <v>0</v>
      </c>
      <c r="N194" s="26">
        <f t="shared" si="55"/>
        <v>0</v>
      </c>
      <c r="O194" s="26">
        <f t="shared" si="55"/>
        <v>0</v>
      </c>
      <c r="P194" s="26">
        <f t="shared" si="55"/>
        <v>0</v>
      </c>
      <c r="Q194" s="26">
        <f t="shared" si="55"/>
        <v>0</v>
      </c>
      <c r="R194" s="26"/>
      <c r="S194" s="26"/>
      <c r="T194" s="26"/>
      <c r="U194" s="26">
        <f>+U198+U197+U196+U192</f>
        <v>5898.82</v>
      </c>
      <c r="V194" s="26">
        <f t="shared" si="54"/>
        <v>84101.18</v>
      </c>
    </row>
    <row r="195" spans="1:22" ht="33">
      <c r="A195" s="27">
        <v>2</v>
      </c>
      <c r="B195" s="1">
        <v>6</v>
      </c>
      <c r="C195" s="1">
        <v>5</v>
      </c>
      <c r="D195" s="1">
        <v>4</v>
      </c>
      <c r="E195" s="52"/>
      <c r="F195" s="1" t="s">
        <v>180</v>
      </c>
      <c r="G195" s="30">
        <v>90000</v>
      </c>
      <c r="H195" s="26"/>
      <c r="I195" s="26"/>
      <c r="J195" s="26"/>
      <c r="K195" s="25"/>
      <c r="L195" s="25"/>
      <c r="M195" s="25"/>
      <c r="N195" s="25"/>
      <c r="O195" s="25">
        <v>0</v>
      </c>
      <c r="P195" s="25"/>
      <c r="Q195" s="25">
        <v>0</v>
      </c>
      <c r="R195" s="25"/>
      <c r="S195" s="25"/>
      <c r="T195" s="25"/>
      <c r="U195" s="30">
        <f>+H195+I195+J195+K195+L195+M195+N195+O195+P195+Q195+R195+S195</f>
        <v>0</v>
      </c>
      <c r="V195" s="26">
        <f t="shared" si="54"/>
        <v>90000</v>
      </c>
    </row>
    <row r="196" spans="1:22" ht="15">
      <c r="A196" s="27">
        <v>2</v>
      </c>
      <c r="B196" s="1">
        <v>6</v>
      </c>
      <c r="C196" s="1">
        <v>5</v>
      </c>
      <c r="D196" s="1">
        <v>6</v>
      </c>
      <c r="E196" s="52"/>
      <c r="F196" s="1" t="s">
        <v>201</v>
      </c>
      <c r="G196" s="30">
        <v>0</v>
      </c>
      <c r="H196" s="26"/>
      <c r="I196" s="26"/>
      <c r="J196" s="26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30">
        <f>+H196+I196+J196+K196+L196+M196+N196+O196+P196+Q196+R196+S196</f>
        <v>0</v>
      </c>
      <c r="V196" s="26">
        <f t="shared" si="54"/>
        <v>0</v>
      </c>
    </row>
    <row r="197" spans="1:22" ht="15">
      <c r="A197" s="27">
        <v>2</v>
      </c>
      <c r="B197" s="1">
        <v>6</v>
      </c>
      <c r="C197" s="1">
        <v>5</v>
      </c>
      <c r="D197" s="1">
        <v>7</v>
      </c>
      <c r="E197" s="52"/>
      <c r="F197" s="29" t="s">
        <v>181</v>
      </c>
      <c r="G197" s="26"/>
      <c r="H197" s="26"/>
      <c r="I197" s="26"/>
      <c r="J197" s="26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30">
        <f>+S197+R197+Q197+P197+O197+N197+L197+L197+I197</f>
        <v>0</v>
      </c>
      <c r="V197" s="26">
        <f t="shared" si="54"/>
        <v>0</v>
      </c>
    </row>
    <row r="198" spans="1:22" s="73" customFormat="1" ht="21">
      <c r="A198" s="27">
        <v>2</v>
      </c>
      <c r="B198" s="1">
        <v>6</v>
      </c>
      <c r="C198" s="1">
        <v>5</v>
      </c>
      <c r="D198" s="1">
        <v>8</v>
      </c>
      <c r="E198" s="52" t="s">
        <v>70</v>
      </c>
      <c r="F198" s="29" t="s">
        <v>200</v>
      </c>
      <c r="G198" s="26"/>
      <c r="H198" s="26"/>
      <c r="I198" s="26"/>
      <c r="J198" s="26"/>
      <c r="K198" s="25"/>
      <c r="L198" s="25">
        <v>5898.82</v>
      </c>
      <c r="M198" s="25"/>
      <c r="N198" s="25"/>
      <c r="O198" s="25"/>
      <c r="P198" s="25"/>
      <c r="Q198" s="25"/>
      <c r="R198" s="25"/>
      <c r="S198" s="25"/>
      <c r="T198" s="25"/>
      <c r="U198" s="30">
        <f>+L198+M198+N198+O198+P198+Q198+S198+T198</f>
        <v>5898.82</v>
      </c>
      <c r="V198" s="26">
        <f>+G198-U198</f>
        <v>-5898.82</v>
      </c>
    </row>
    <row r="199" spans="1:22" s="73" customFormat="1" ht="15">
      <c r="A199" s="27">
        <v>2</v>
      </c>
      <c r="B199" s="1">
        <v>6</v>
      </c>
      <c r="C199" s="1">
        <v>8</v>
      </c>
      <c r="D199" s="1"/>
      <c r="E199" s="52"/>
      <c r="F199" s="1" t="s">
        <v>197</v>
      </c>
      <c r="G199" s="26">
        <f>+G200</f>
        <v>159943</v>
      </c>
      <c r="H199" s="26"/>
      <c r="I199" s="26"/>
      <c r="J199" s="26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30"/>
      <c r="V199" s="26"/>
    </row>
    <row r="200" spans="1:22" ht="21">
      <c r="A200" s="27">
        <v>2</v>
      </c>
      <c r="B200" s="1">
        <v>6</v>
      </c>
      <c r="C200" s="1">
        <v>8</v>
      </c>
      <c r="D200" s="1">
        <v>8</v>
      </c>
      <c r="E200" s="52" t="s">
        <v>70</v>
      </c>
      <c r="F200" s="29" t="s">
        <v>198</v>
      </c>
      <c r="G200" s="30">
        <v>159943</v>
      </c>
      <c r="H200" s="26"/>
      <c r="I200" s="26"/>
      <c r="J200" s="26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30"/>
      <c r="V200" s="26">
        <f>G200-U200</f>
        <v>159943</v>
      </c>
    </row>
    <row r="201" spans="1:22" s="73" customFormat="1" ht="15">
      <c r="A201" s="27"/>
      <c r="B201" s="1"/>
      <c r="C201" s="1"/>
      <c r="D201" s="1"/>
      <c r="E201" s="52"/>
      <c r="F201" s="1"/>
      <c r="G201" s="26"/>
      <c r="H201" s="26"/>
      <c r="I201" s="26"/>
      <c r="J201" s="26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30"/>
      <c r="V201" s="26"/>
    </row>
    <row r="202" spans="1:22" ht="15">
      <c r="A202" s="27">
        <v>2</v>
      </c>
      <c r="B202" s="1">
        <v>7</v>
      </c>
      <c r="C202" s="1"/>
      <c r="D202" s="1"/>
      <c r="E202" s="52"/>
      <c r="F202" s="1" t="s">
        <v>208</v>
      </c>
      <c r="G202" s="26">
        <f>+G203</f>
        <v>0</v>
      </c>
      <c r="H202" s="26">
        <f aca="true" t="shared" si="56" ref="H202:U202">+H203</f>
        <v>0</v>
      </c>
      <c r="I202" s="26">
        <f t="shared" si="56"/>
        <v>0</v>
      </c>
      <c r="J202" s="26">
        <f t="shared" si="56"/>
        <v>0</v>
      </c>
      <c r="K202" s="26">
        <f t="shared" si="56"/>
        <v>0</v>
      </c>
      <c r="L202" s="26">
        <f t="shared" si="56"/>
        <v>0</v>
      </c>
      <c r="M202" s="26">
        <f t="shared" si="56"/>
        <v>0</v>
      </c>
      <c r="N202" s="26">
        <f t="shared" si="56"/>
        <v>0</v>
      </c>
      <c r="O202" s="26">
        <f t="shared" si="56"/>
        <v>0</v>
      </c>
      <c r="P202" s="26">
        <f t="shared" si="56"/>
        <v>0</v>
      </c>
      <c r="Q202" s="26">
        <f t="shared" si="56"/>
        <v>0</v>
      </c>
      <c r="R202" s="26"/>
      <c r="S202" s="26"/>
      <c r="T202" s="26"/>
      <c r="U202" s="26">
        <f t="shared" si="56"/>
        <v>0</v>
      </c>
      <c r="V202" s="26">
        <f aca="true" t="shared" si="57" ref="V202:V216">G202-U202</f>
        <v>0</v>
      </c>
    </row>
    <row r="203" spans="1:22" ht="15">
      <c r="A203" s="27">
        <v>2</v>
      </c>
      <c r="B203" s="1">
        <v>7</v>
      </c>
      <c r="C203" s="1">
        <v>1</v>
      </c>
      <c r="D203" s="1">
        <v>2</v>
      </c>
      <c r="E203" s="52">
        <v>1</v>
      </c>
      <c r="F203" s="1" t="s">
        <v>209</v>
      </c>
      <c r="G203" s="30">
        <v>0</v>
      </c>
      <c r="H203" s="26"/>
      <c r="I203" s="26"/>
      <c r="J203" s="26"/>
      <c r="K203" s="25"/>
      <c r="L203" s="25"/>
      <c r="M203" s="25"/>
      <c r="N203" s="25"/>
      <c r="O203" s="25">
        <v>0</v>
      </c>
      <c r="P203" s="25">
        <v>0</v>
      </c>
      <c r="Q203" s="25"/>
      <c r="R203" s="25"/>
      <c r="S203" s="25"/>
      <c r="T203" s="25"/>
      <c r="U203" s="30">
        <f>+O203+P203</f>
        <v>0</v>
      </c>
      <c r="V203" s="26">
        <f t="shared" si="57"/>
        <v>0</v>
      </c>
    </row>
    <row r="204" spans="1:22" ht="15">
      <c r="A204" s="27"/>
      <c r="B204" s="1"/>
      <c r="C204" s="1"/>
      <c r="D204" s="1"/>
      <c r="E204" s="52"/>
      <c r="F204" s="1"/>
      <c r="G204" s="30"/>
      <c r="H204" s="26"/>
      <c r="I204" s="26"/>
      <c r="J204" s="26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30"/>
      <c r="V204" s="26">
        <f t="shared" si="57"/>
        <v>0</v>
      </c>
    </row>
    <row r="205" spans="1:22" ht="15">
      <c r="A205" s="27">
        <v>2</v>
      </c>
      <c r="B205" s="1">
        <v>6</v>
      </c>
      <c r="C205" s="1">
        <v>6</v>
      </c>
      <c r="D205" s="1"/>
      <c r="E205" s="52"/>
      <c r="F205" s="1" t="s">
        <v>182</v>
      </c>
      <c r="G205" s="26">
        <f>+G206</f>
        <v>0</v>
      </c>
      <c r="H205" s="26">
        <f aca="true" t="shared" si="58" ref="H205:Q205">+H206</f>
        <v>0</v>
      </c>
      <c r="I205" s="26">
        <f t="shared" si="58"/>
        <v>0</v>
      </c>
      <c r="J205" s="26">
        <f t="shared" si="58"/>
        <v>0</v>
      </c>
      <c r="K205" s="26">
        <f t="shared" si="58"/>
        <v>0</v>
      </c>
      <c r="L205" s="26">
        <f t="shared" si="58"/>
        <v>0</v>
      </c>
      <c r="M205" s="26">
        <f t="shared" si="58"/>
        <v>0</v>
      </c>
      <c r="N205" s="26">
        <f t="shared" si="58"/>
        <v>0</v>
      </c>
      <c r="O205" s="26">
        <f t="shared" si="58"/>
        <v>0</v>
      </c>
      <c r="P205" s="26">
        <f t="shared" si="58"/>
        <v>0</v>
      </c>
      <c r="Q205" s="26">
        <f t="shared" si="58"/>
        <v>0</v>
      </c>
      <c r="R205" s="26"/>
      <c r="S205" s="26"/>
      <c r="T205" s="26"/>
      <c r="U205" s="26">
        <f>+M205</f>
        <v>0</v>
      </c>
      <c r="V205" s="26">
        <f t="shared" si="57"/>
        <v>0</v>
      </c>
    </row>
    <row r="206" spans="1:22" ht="15">
      <c r="A206" s="28">
        <v>2</v>
      </c>
      <c r="B206" s="29">
        <v>6</v>
      </c>
      <c r="C206" s="29">
        <v>6</v>
      </c>
      <c r="D206" s="29">
        <v>1</v>
      </c>
      <c r="E206" s="54">
        <v>1</v>
      </c>
      <c r="F206" s="29" t="s">
        <v>183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/>
      <c r="S206" s="30"/>
      <c r="T206" s="30"/>
      <c r="U206" s="30">
        <f>+M206</f>
        <v>0</v>
      </c>
      <c r="V206" s="26">
        <f t="shared" si="57"/>
        <v>0</v>
      </c>
    </row>
    <row r="207" spans="1:22" ht="15">
      <c r="A207" s="28"/>
      <c r="B207" s="29"/>
      <c r="C207" s="29"/>
      <c r="D207" s="29"/>
      <c r="E207" s="54"/>
      <c r="F207" s="29"/>
      <c r="G207" s="30"/>
      <c r="H207" s="30"/>
      <c r="I207" s="30"/>
      <c r="J207" s="30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30"/>
      <c r="V207" s="26">
        <f t="shared" si="57"/>
        <v>0</v>
      </c>
    </row>
    <row r="208" spans="1:22" ht="15">
      <c r="A208" s="27">
        <v>2</v>
      </c>
      <c r="B208" s="1">
        <v>6</v>
      </c>
      <c r="C208" s="1">
        <v>8</v>
      </c>
      <c r="D208" s="29"/>
      <c r="E208" s="54"/>
      <c r="F208" s="1" t="s">
        <v>184</v>
      </c>
      <c r="G208" s="26">
        <f>+G209+G210+G213+G214</f>
        <v>0</v>
      </c>
      <c r="H208" s="26">
        <f>+H209+H210+H213+H214</f>
        <v>0</v>
      </c>
      <c r="I208" s="26">
        <f>+I209+I210+I213+I214</f>
        <v>0</v>
      </c>
      <c r="J208" s="26">
        <v>0</v>
      </c>
      <c r="K208" s="26">
        <f>+K209+K210+K213+K214</f>
        <v>0</v>
      </c>
      <c r="L208" s="26"/>
      <c r="M208" s="26"/>
      <c r="N208" s="26"/>
      <c r="O208" s="26"/>
      <c r="P208" s="26"/>
      <c r="Q208" s="26"/>
      <c r="R208" s="26"/>
      <c r="S208" s="26"/>
      <c r="T208" s="26"/>
      <c r="U208" s="30">
        <f>U209+U210+U213+U214</f>
        <v>0</v>
      </c>
      <c r="V208" s="26">
        <f t="shared" si="57"/>
        <v>0</v>
      </c>
    </row>
    <row r="209" spans="1:22" ht="15">
      <c r="A209" s="27">
        <v>2</v>
      </c>
      <c r="B209" s="1">
        <v>6</v>
      </c>
      <c r="C209" s="1">
        <v>8</v>
      </c>
      <c r="D209" s="1">
        <v>1</v>
      </c>
      <c r="E209" s="52"/>
      <c r="F209" s="1" t="s">
        <v>185</v>
      </c>
      <c r="G209" s="26">
        <v>0</v>
      </c>
      <c r="H209" s="26"/>
      <c r="I209" s="26"/>
      <c r="J209" s="26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30">
        <f>+H209+I209+J209+K209+L209+M209+N209+O209+P209+Q209+R209+S209</f>
        <v>0</v>
      </c>
      <c r="V209" s="26">
        <f t="shared" si="57"/>
        <v>0</v>
      </c>
    </row>
    <row r="210" spans="1:22" ht="22.5">
      <c r="A210" s="27">
        <v>2</v>
      </c>
      <c r="B210" s="1">
        <v>6</v>
      </c>
      <c r="C210" s="1">
        <v>8</v>
      </c>
      <c r="D210" s="1">
        <v>3</v>
      </c>
      <c r="E210" s="52"/>
      <c r="F210" s="1" t="s">
        <v>186</v>
      </c>
      <c r="G210" s="26">
        <f>G211+G212</f>
        <v>0</v>
      </c>
      <c r="H210" s="26">
        <f>H211+H212</f>
        <v>0</v>
      </c>
      <c r="I210" s="26">
        <f>I211+I212</f>
        <v>0</v>
      </c>
      <c r="J210" s="26">
        <f>J211+J212</f>
        <v>0</v>
      </c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30">
        <f>U211+U212</f>
        <v>0</v>
      </c>
      <c r="V210" s="26">
        <f t="shared" si="57"/>
        <v>0</v>
      </c>
    </row>
    <row r="211" spans="1:22" ht="15">
      <c r="A211" s="28">
        <v>2</v>
      </c>
      <c r="B211" s="29">
        <v>6</v>
      </c>
      <c r="C211" s="29">
        <v>8</v>
      </c>
      <c r="D211" s="29">
        <v>3</v>
      </c>
      <c r="E211" s="53" t="s">
        <v>18</v>
      </c>
      <c r="F211" s="29" t="s">
        <v>187</v>
      </c>
      <c r="G211" s="30">
        <v>0</v>
      </c>
      <c r="H211" s="30"/>
      <c r="I211" s="30"/>
      <c r="J211" s="30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30">
        <f>+H211+I211+J211+K211+L211+M211+N211+O211+P211+Q211+R211+S211</f>
        <v>0</v>
      </c>
      <c r="V211" s="26">
        <f t="shared" si="57"/>
        <v>0</v>
      </c>
    </row>
    <row r="212" spans="1:22" ht="15">
      <c r="A212" s="28">
        <v>2</v>
      </c>
      <c r="B212" s="29">
        <v>6</v>
      </c>
      <c r="C212" s="29">
        <v>8</v>
      </c>
      <c r="D212" s="29">
        <v>3</v>
      </c>
      <c r="E212" s="53" t="s">
        <v>22</v>
      </c>
      <c r="F212" s="29" t="s">
        <v>188</v>
      </c>
      <c r="G212" s="30">
        <v>0</v>
      </c>
      <c r="H212" s="30"/>
      <c r="I212" s="30"/>
      <c r="J212" s="30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30">
        <f>+H212+I212+J212+K212+L212+M212+N212+O212+P212+Q212+R212+S212</f>
        <v>0</v>
      </c>
      <c r="V212" s="26">
        <f t="shared" si="57"/>
        <v>0</v>
      </c>
    </row>
    <row r="213" spans="1:22" ht="15">
      <c r="A213" s="27">
        <v>2</v>
      </c>
      <c r="B213" s="1">
        <v>6</v>
      </c>
      <c r="C213" s="1">
        <v>8</v>
      </c>
      <c r="D213" s="1">
        <v>5</v>
      </c>
      <c r="E213" s="52"/>
      <c r="F213" s="1" t="s">
        <v>189</v>
      </c>
      <c r="G213" s="26">
        <v>0</v>
      </c>
      <c r="H213" s="26"/>
      <c r="I213" s="26"/>
      <c r="J213" s="26">
        <v>0</v>
      </c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30">
        <f>+H213+I213+J213+K213+L213+M213+N213+O213+P213+Q213+R213+S213</f>
        <v>0</v>
      </c>
      <c r="V213" s="26">
        <f t="shared" si="57"/>
        <v>0</v>
      </c>
    </row>
    <row r="214" spans="1:22" ht="15">
      <c r="A214" s="27">
        <v>2</v>
      </c>
      <c r="B214" s="1">
        <v>6</v>
      </c>
      <c r="C214" s="1">
        <v>8</v>
      </c>
      <c r="D214" s="1">
        <v>8</v>
      </c>
      <c r="E214" s="52"/>
      <c r="F214" s="1" t="s">
        <v>190</v>
      </c>
      <c r="G214" s="26">
        <f>+G215</f>
        <v>0</v>
      </c>
      <c r="H214" s="26">
        <f>+H215</f>
        <v>0</v>
      </c>
      <c r="I214" s="26">
        <f>+I215</f>
        <v>0</v>
      </c>
      <c r="J214" s="26">
        <f>+J215</f>
        <v>0</v>
      </c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30">
        <f>U215</f>
        <v>0</v>
      </c>
      <c r="V214" s="26">
        <f t="shared" si="57"/>
        <v>0</v>
      </c>
    </row>
    <row r="215" spans="1:22" ht="15.75" thickBot="1">
      <c r="A215" s="40">
        <v>2</v>
      </c>
      <c r="B215" s="41">
        <v>6</v>
      </c>
      <c r="C215" s="41">
        <v>8</v>
      </c>
      <c r="D215" s="41">
        <v>8</v>
      </c>
      <c r="E215" s="66" t="s">
        <v>18</v>
      </c>
      <c r="F215" s="29" t="s">
        <v>191</v>
      </c>
      <c r="G215" s="30">
        <v>0</v>
      </c>
      <c r="H215" s="30"/>
      <c r="I215" s="30"/>
      <c r="J215" s="30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30">
        <f>+H215+I215+J215+K215+L215+M215+N215+O215+P215+Q215+R215+S215</f>
        <v>0</v>
      </c>
      <c r="V215" s="26">
        <f t="shared" si="57"/>
        <v>0</v>
      </c>
    </row>
    <row r="216" spans="1:23" ht="15.75" thickBot="1">
      <c r="A216" s="48"/>
      <c r="B216" s="49"/>
      <c r="C216" s="49"/>
      <c r="D216" s="49"/>
      <c r="E216" s="67"/>
      <c r="F216" s="76" t="s">
        <v>192</v>
      </c>
      <c r="G216" s="86">
        <f aca="true" t="shared" si="59" ref="G216:S216">G7+G48+G113+G165+G179+G202</f>
        <v>55905842</v>
      </c>
      <c r="H216" s="86">
        <f t="shared" si="59"/>
        <v>2613820.8499999996</v>
      </c>
      <c r="I216" s="86">
        <f t="shared" si="59"/>
        <v>1574086.3199999998</v>
      </c>
      <c r="J216" s="86">
        <f t="shared" si="59"/>
        <v>6643350.289999999</v>
      </c>
      <c r="K216" s="86">
        <f t="shared" si="59"/>
        <v>4972287.43</v>
      </c>
      <c r="L216" s="77">
        <f t="shared" si="59"/>
        <v>3751565.27</v>
      </c>
      <c r="M216" s="77">
        <f t="shared" si="59"/>
        <v>3916523.25</v>
      </c>
      <c r="N216" s="77">
        <f t="shared" si="59"/>
        <v>4928291.79</v>
      </c>
      <c r="O216" s="77">
        <f t="shared" si="59"/>
        <v>0</v>
      </c>
      <c r="P216" s="77">
        <f t="shared" si="59"/>
        <v>0</v>
      </c>
      <c r="Q216" s="77">
        <f t="shared" si="59"/>
        <v>0</v>
      </c>
      <c r="R216" s="77">
        <f t="shared" si="59"/>
        <v>0</v>
      </c>
      <c r="S216" s="77">
        <f t="shared" si="59"/>
        <v>0</v>
      </c>
      <c r="T216" s="77"/>
      <c r="U216" s="86">
        <f>+U7+U48+U113+U165+U179+U202</f>
        <v>28399925.199999996</v>
      </c>
      <c r="V216" s="89">
        <f t="shared" si="57"/>
        <v>27505916.800000004</v>
      </c>
      <c r="W216" s="91" t="s">
        <v>33</v>
      </c>
    </row>
    <row r="217" spans="1:23" ht="15">
      <c r="A217" s="2"/>
      <c r="B217" s="2" t="s">
        <v>33</v>
      </c>
      <c r="C217" s="2"/>
      <c r="D217" s="2"/>
      <c r="E217" s="47"/>
      <c r="F217" s="3" t="s">
        <v>33</v>
      </c>
      <c r="G217" s="87" t="s">
        <v>33</v>
      </c>
      <c r="H217" s="87"/>
      <c r="I217" s="87" t="s">
        <v>33</v>
      </c>
      <c r="J217" s="87" t="s">
        <v>33</v>
      </c>
      <c r="K217" s="87" t="s">
        <v>33</v>
      </c>
      <c r="L217" s="50" t="s">
        <v>33</v>
      </c>
      <c r="M217" s="50" t="s">
        <v>33</v>
      </c>
      <c r="N217" s="50" t="s">
        <v>33</v>
      </c>
      <c r="O217" s="50"/>
      <c r="P217" s="50" t="s">
        <v>33</v>
      </c>
      <c r="Q217" s="50"/>
      <c r="R217" s="50" t="s">
        <v>33</v>
      </c>
      <c r="S217" s="50" t="s">
        <v>33</v>
      </c>
      <c r="T217" s="50"/>
      <c r="U217" s="87" t="s">
        <v>33</v>
      </c>
      <c r="V217" s="87" t="s">
        <v>33</v>
      </c>
      <c r="W217" s="88"/>
    </row>
    <row r="218" spans="6:22" ht="15">
      <c r="F218" s="4"/>
      <c r="G218" s="71" t="s">
        <v>33</v>
      </c>
      <c r="H218" s="7" t="s">
        <v>33</v>
      </c>
      <c r="I218" s="7"/>
      <c r="J218" s="7" t="s">
        <v>33</v>
      </c>
      <c r="K218" s="6"/>
      <c r="L218" s="8" t="s">
        <v>33</v>
      </c>
      <c r="M218" s="9" t="s">
        <v>33</v>
      </c>
      <c r="N218" s="9" t="s">
        <v>33</v>
      </c>
      <c r="O218" s="6" t="s">
        <v>33</v>
      </c>
      <c r="P218" s="10" t="s">
        <v>33</v>
      </c>
      <c r="Q218" s="6"/>
      <c r="R218" s="8" t="s">
        <v>33</v>
      </c>
      <c r="S218" s="8" t="s">
        <v>33</v>
      </c>
      <c r="T218" s="8"/>
      <c r="U218" s="11"/>
      <c r="V218" s="70" t="s">
        <v>33</v>
      </c>
    </row>
    <row r="219" spans="6:22" ht="15.75">
      <c r="F219" s="97" t="s">
        <v>193</v>
      </c>
      <c r="G219" s="98"/>
      <c r="H219" s="98"/>
      <c r="I219" s="99" t="s">
        <v>33</v>
      </c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</row>
    <row r="220" spans="6:22" ht="15">
      <c r="F220" s="14"/>
      <c r="G220" s="6"/>
      <c r="H220" s="12"/>
      <c r="I220" s="12"/>
      <c r="J220" s="90" t="s">
        <v>33</v>
      </c>
      <c r="U220" s="15"/>
      <c r="V220" s="5"/>
    </row>
    <row r="221" spans="7:22" ht="15">
      <c r="G221" s="6"/>
      <c r="H221" s="7" t="s">
        <v>33</v>
      </c>
      <c r="I221" s="12"/>
      <c r="J221" s="7" t="s">
        <v>33</v>
      </c>
      <c r="K221" s="81" t="s">
        <v>33</v>
      </c>
      <c r="M221" s="12"/>
      <c r="O221" s="16"/>
      <c r="U221" s="17"/>
      <c r="V221" s="18"/>
    </row>
    <row r="222" spans="7:22" ht="15">
      <c r="G222" s="6"/>
      <c r="H222" s="12"/>
      <c r="I222" s="12"/>
      <c r="J222" s="12"/>
      <c r="K222" s="81" t="s">
        <v>33</v>
      </c>
      <c r="O222" s="19"/>
      <c r="S222" s="8" t="s">
        <v>33</v>
      </c>
      <c r="T222" s="8"/>
      <c r="U222" s="17" t="s">
        <v>33</v>
      </c>
      <c r="V222" s="13" t="s">
        <v>33</v>
      </c>
    </row>
    <row r="223" spans="7:22" ht="15">
      <c r="G223" s="6"/>
      <c r="H223" s="12"/>
      <c r="I223" s="12"/>
      <c r="J223" s="12"/>
      <c r="K223" s="82" t="s">
        <v>33</v>
      </c>
      <c r="L223" s="20" t="s">
        <v>33</v>
      </c>
      <c r="U223" s="15"/>
      <c r="V223" s="5"/>
    </row>
    <row r="224" ht="15">
      <c r="K224" s="83"/>
    </row>
    <row r="225" ht="15">
      <c r="K225" s="83"/>
    </row>
    <row r="226" ht="15">
      <c r="K226" s="83"/>
    </row>
    <row r="227" ht="15">
      <c r="K227" s="15"/>
    </row>
  </sheetData>
  <sheetProtection/>
  <mergeCells count="6">
    <mergeCell ref="F219:H219"/>
    <mergeCell ref="I219:V219"/>
    <mergeCell ref="A6:E6"/>
    <mergeCell ref="F3:V3"/>
    <mergeCell ref="F4:V4"/>
    <mergeCell ref="F5:V5"/>
  </mergeCells>
  <printOptions/>
  <pageMargins left="0.4330708661417323" right="0.15748031496062992" top="0.35433070866141736" bottom="0.4330708661417323" header="0.31496062992125984" footer="0.31496062992125984"/>
  <pageSetup horizontalDpi="600" verticalDpi="600" orientation="landscape" paperSize="5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</dc:creator>
  <cp:keywords/>
  <dc:description/>
  <cp:lastModifiedBy>Patria Martinez</cp:lastModifiedBy>
  <cp:lastPrinted>2018-10-09T19:16:10Z</cp:lastPrinted>
  <dcterms:created xsi:type="dcterms:W3CDTF">2017-11-08T14:15:00Z</dcterms:created>
  <dcterms:modified xsi:type="dcterms:W3CDTF">2018-10-09T19:19:24Z</dcterms:modified>
  <cp:category/>
  <cp:version/>
  <cp:contentType/>
  <cp:contentStatus/>
</cp:coreProperties>
</file>