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D:\Disco Anafranc 2025\OneDrive - CONIAF\Documentos\SISANOC\SISANOC 2025 CORTE\"/>
    </mc:Choice>
  </mc:AlternateContent>
  <xr:revisionPtr revIDLastSave="0" documentId="13_ncr:1_{094A30CF-CC30-44A3-9B7E-FF4EE116DFA9}" xr6:coauthVersionLast="47" xr6:coauthVersionMax="47" xr10:uidLastSave="{00000000-0000-0000-0000-000000000000}"/>
  <bookViews>
    <workbookView xWindow="-28920" yWindow="-120" windowWidth="29040" windowHeight="15720" tabRatio="915" firstSheet="2" activeTab="2" xr2:uid="{00000000-000D-0000-FFFF-FFFF00000000}"/>
  </bookViews>
  <sheets>
    <sheet name="Datos" sheetId="29" state="hidden" r:id="rId1"/>
    <sheet name="Balance de Comprobación" sheetId="28" state="hidden" r:id="rId2"/>
    <sheet name="ECANP-Cambio Patrimonio" sheetId="8" r:id="rId3"/>
    <sheet name="Notas 1-6" sheetId="31" state="hidden" r:id="rId4"/>
  </sheets>
  <definedNames>
    <definedName name="_xlnm._FilterDatabase" localSheetId="1" hidden="1">'Balance de Comprobación'!$A$11:$H$172</definedName>
    <definedName name="_xlnm._FilterDatabase" localSheetId="0" hidden="1">Datos!$A$396:$H$451</definedName>
    <definedName name="_xlnm._FilterDatabase" localSheetId="2" hidden="1">'ECANP-Cambio Patrimonio'!$C$7:$J$33</definedName>
    <definedName name="_Hlk2259075" localSheetId="3">'Notas 1-6'!#REF!</definedName>
    <definedName name="_Toc475032663" localSheetId="3">'Notas 1-6'!#REF!</definedName>
    <definedName name="_xlnm.Print_Area" localSheetId="1">'Balance de Comprobación'!$A$1:$F$171</definedName>
    <definedName name="_xlnm.Print_Area" localSheetId="2">'ECANP-Cambio Patrimonio'!$B$1:$H$56</definedName>
    <definedName name="_xlnm.Print_Area" localSheetId="3">'Notas 1-6'!$B$1:$G$15</definedName>
    <definedName name="OLE_LINK2" localSheetId="3">'Notas 1-6'!#REF!</definedName>
    <definedName name="_xlnm.Print_Titles" localSheetId="1">'Balance de Comprobación'!$1:$11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 i="28" l="1"/>
  <c r="D35" i="29" l="1"/>
  <c r="D28" i="29"/>
  <c r="D30" i="29"/>
  <c r="D377" i="29" l="1"/>
  <c r="D373" i="29"/>
  <c r="D363" i="29"/>
  <c r="D422" i="29"/>
  <c r="C422" i="29"/>
  <c r="D325" i="29"/>
  <c r="D277" i="29"/>
  <c r="G91" i="28"/>
  <c r="G92" i="28"/>
  <c r="G89" i="28"/>
  <c r="G90" i="28"/>
  <c r="G94" i="28"/>
  <c r="G95" i="28"/>
  <c r="G96" i="28"/>
  <c r="G81" i="28"/>
  <c r="G47" i="28"/>
  <c r="G48" i="28"/>
  <c r="C451" i="29" l="1"/>
  <c r="E249" i="29"/>
  <c r="H38" i="28" l="1"/>
  <c r="D412" i="29" l="1"/>
  <c r="E474" i="29"/>
  <c r="E446" i="29" s="1"/>
  <c r="D385" i="29" l="1"/>
  <c r="E228" i="29" l="1"/>
  <c r="E229" i="29" s="1"/>
  <c r="E230" i="29" s="1"/>
  <c r="E231" i="29" s="1"/>
  <c r="E232" i="29" s="1"/>
  <c r="E233" i="29" s="1"/>
  <c r="D201" i="29"/>
  <c r="D200" i="29"/>
  <c r="G212" i="29" s="1"/>
  <c r="G234" i="29" l="1"/>
  <c r="G236" i="29" l="1"/>
  <c r="G40" i="28"/>
  <c r="G41" i="28"/>
  <c r="G42" i="28"/>
  <c r="G43" i="28"/>
  <c r="G45" i="28"/>
  <c r="G46" i="28"/>
  <c r="G50" i="28"/>
  <c r="G52" i="28"/>
  <c r="G53" i="28"/>
  <c r="G54" i="28"/>
  <c r="G57" i="28"/>
  <c r="G58" i="28"/>
  <c r="G59" i="28"/>
  <c r="G60" i="28"/>
  <c r="G61" i="28"/>
  <c r="G63" i="28"/>
  <c r="G66" i="28"/>
  <c r="G67" i="28"/>
  <c r="G69" i="28"/>
  <c r="G70" i="28"/>
  <c r="G72" i="28"/>
  <c r="G73" i="28"/>
  <c r="G74" i="28"/>
  <c r="G75" i="28"/>
  <c r="G77" i="28"/>
  <c r="G78" i="28"/>
  <c r="G80" i="28"/>
  <c r="G82" i="28"/>
  <c r="G83" i="28"/>
  <c r="G86" i="28"/>
  <c r="G88" i="28"/>
  <c r="G97" i="28"/>
  <c r="G101" i="28"/>
  <c r="G102" i="28"/>
  <c r="G104" i="28"/>
  <c r="G105" i="28"/>
  <c r="G106" i="28"/>
  <c r="G108" i="28"/>
  <c r="G110" i="28"/>
  <c r="G111" i="28"/>
  <c r="G114" i="28"/>
  <c r="G116" i="28"/>
  <c r="G117" i="28"/>
  <c r="G118" i="28"/>
  <c r="G120" i="28"/>
  <c r="G121" i="28"/>
  <c r="G122" i="28"/>
  <c r="G123" i="28"/>
  <c r="G124" i="28"/>
  <c r="G125" i="28"/>
  <c r="G126" i="28"/>
  <c r="G127" i="28"/>
  <c r="G128" i="28"/>
  <c r="G130" i="28"/>
  <c r="G131" i="28"/>
  <c r="G132" i="28"/>
  <c r="G133" i="28"/>
  <c r="G134" i="28"/>
  <c r="G135" i="28"/>
  <c r="G138" i="28"/>
  <c r="G139" i="28"/>
  <c r="G140" i="28"/>
  <c r="G141" i="28"/>
  <c r="G142" i="28"/>
  <c r="G144" i="28"/>
  <c r="G145" i="28"/>
  <c r="G146" i="28"/>
  <c r="G148" i="28"/>
  <c r="G149" i="28"/>
  <c r="G150" i="28"/>
  <c r="G151" i="28"/>
  <c r="G152" i="28"/>
  <c r="G153" i="28"/>
  <c r="G154" i="28"/>
  <c r="G156" i="28"/>
  <c r="G158" i="28"/>
  <c r="G159" i="28"/>
  <c r="G163" i="28"/>
  <c r="G164" i="28"/>
  <c r="G38" i="28"/>
  <c r="F164" i="29" l="1"/>
  <c r="F165" i="29"/>
  <c r="F166" i="29"/>
  <c r="F167" i="29"/>
  <c r="F168" i="29"/>
  <c r="F169" i="29"/>
  <c r="F170" i="29"/>
  <c r="F171" i="29"/>
  <c r="F172" i="29"/>
  <c r="F174" i="29"/>
  <c r="E41" i="29" l="1"/>
  <c r="E42" i="29" s="1"/>
  <c r="J212" i="29" l="1"/>
  <c r="J213" i="29" s="1"/>
  <c r="I154" i="28" l="1"/>
  <c r="J237" i="29" l="1"/>
  <c r="M109" i="29"/>
  <c r="V187" i="29"/>
  <c r="O112" i="29" s="1"/>
  <c r="F181" i="29" l="1"/>
  <c r="F180" i="29"/>
  <c r="F179" i="29"/>
  <c r="F178" i="29"/>
  <c r="F177" i="29"/>
  <c r="F176" i="29"/>
  <c r="F163" i="29"/>
  <c r="F162" i="29"/>
  <c r="E113" i="29" l="1"/>
  <c r="Y182" i="29"/>
  <c r="F233" i="29" l="1"/>
  <c r="F232" i="29"/>
  <c r="F231" i="29"/>
  <c r="F230" i="29"/>
  <c r="F229" i="29"/>
  <c r="F228" i="29"/>
  <c r="F227" i="29"/>
  <c r="G214" i="29"/>
  <c r="V181" i="29" l="1"/>
  <c r="X181" i="29" s="1"/>
  <c r="V180" i="29"/>
  <c r="X180" i="29" s="1"/>
  <c r="V179" i="29"/>
  <c r="X179" i="29" s="1"/>
  <c r="V178" i="29"/>
  <c r="X178" i="29" s="1"/>
  <c r="V177" i="29"/>
  <c r="X177" i="29" s="1"/>
  <c r="V176" i="29"/>
  <c r="X176" i="29" s="1"/>
  <c r="V175" i="29"/>
  <c r="X175" i="29" s="1"/>
  <c r="V174" i="29"/>
  <c r="X174" i="29" s="1"/>
  <c r="V173" i="29"/>
  <c r="X173" i="29" s="1"/>
  <c r="V172" i="29"/>
  <c r="X172" i="29" s="1"/>
  <c r="V171" i="29"/>
  <c r="O111" i="29" s="1"/>
  <c r="V170" i="29"/>
  <c r="X170" i="29" s="1"/>
  <c r="V169" i="29"/>
  <c r="X169" i="29" s="1"/>
  <c r="V168" i="29"/>
  <c r="X168" i="29" s="1"/>
  <c r="V167" i="29"/>
  <c r="X167" i="29" s="1"/>
  <c r="V166" i="29"/>
  <c r="V165" i="29"/>
  <c r="V164" i="29"/>
  <c r="V163" i="29"/>
  <c r="X163" i="29" s="1"/>
  <c r="V162" i="29"/>
  <c r="X162" i="29" l="1"/>
  <c r="O106" i="29"/>
  <c r="X166" i="29"/>
  <c r="X171" i="29"/>
  <c r="X164" i="29"/>
  <c r="O107" i="29"/>
  <c r="X165" i="29"/>
  <c r="O113" i="29"/>
  <c r="T162" i="29"/>
  <c r="T163" i="29"/>
  <c r="T164" i="29"/>
  <c r="T165" i="29"/>
  <c r="T166" i="29"/>
  <c r="T167" i="29"/>
  <c r="T168" i="29"/>
  <c r="T169" i="29"/>
  <c r="T170" i="29"/>
  <c r="T171" i="29"/>
  <c r="T172" i="29"/>
  <c r="T173" i="29"/>
  <c r="T174" i="29"/>
  <c r="T175" i="29"/>
  <c r="T176" i="29"/>
  <c r="T177" i="29"/>
  <c r="T178" i="29"/>
  <c r="T179" i="29"/>
  <c r="T180" i="29"/>
  <c r="T181" i="29"/>
  <c r="O114" i="29" l="1"/>
  <c r="X182" i="29"/>
  <c r="E243" i="29" l="1"/>
  <c r="E252" i="29" l="1"/>
  <c r="I212" i="29" l="1"/>
  <c r="E195" i="29"/>
  <c r="E453" i="29" l="1"/>
  <c r="D451" i="29"/>
  <c r="F2" i="28"/>
  <c r="F216" i="29"/>
  <c r="D453" i="29" l="1"/>
  <c r="S109" i="29" l="1"/>
  <c r="S114" i="29"/>
  <c r="E428" i="29" l="1"/>
  <c r="F455" i="29" s="1"/>
  <c r="D474" i="29"/>
  <c r="D446" i="29" s="1"/>
  <c r="D475" i="29" l="1"/>
  <c r="F444" i="29"/>
  <c r="F443" i="29"/>
  <c r="F441" i="29"/>
  <c r="F396" i="29"/>
  <c r="D360" i="29" l="1"/>
  <c r="D361" i="29"/>
  <c r="I221" i="29"/>
  <c r="D220" i="29"/>
  <c r="I229" i="29" s="1"/>
  <c r="E107" i="29" l="1"/>
  <c r="E308" i="29" l="1"/>
  <c r="J107" i="29" l="1"/>
  <c r="J113" i="29"/>
  <c r="F112" i="29" l="1"/>
  <c r="F379" i="29" l="1"/>
  <c r="E26" i="29" l="1"/>
  <c r="V85" i="29" l="1"/>
  <c r="E59" i="29"/>
  <c r="V91" i="29" l="1"/>
  <c r="G55" i="29" l="1"/>
  <c r="G56" i="29" s="1"/>
  <c r="H19" i="8" l="1"/>
  <c r="D308" i="29"/>
  <c r="D309" i="29" l="1"/>
  <c r="F342" i="29" l="1"/>
  <c r="F337" i="29"/>
  <c r="F334" i="29"/>
  <c r="E277" i="29"/>
  <c r="F21" i="8" l="1"/>
  <c r="E21" i="8"/>
  <c r="D21" i="8"/>
  <c r="H8" i="8"/>
  <c r="D16" i="28" l="1"/>
  <c r="H16" i="28" s="1"/>
  <c r="E68" i="29"/>
  <c r="C15" i="8"/>
  <c r="E309" i="29" l="1"/>
  <c r="S195" i="29" l="1"/>
  <c r="O195" i="29"/>
  <c r="M195" i="29"/>
  <c r="L195" i="29"/>
  <c r="E112" i="29"/>
  <c r="E111" i="29"/>
  <c r="E108" i="29"/>
  <c r="P195" i="29" l="1"/>
  <c r="E106" i="29"/>
  <c r="R195" i="29" l="1"/>
  <c r="P198" i="29"/>
  <c r="I199" i="29" l="1"/>
  <c r="I197" i="29"/>
  <c r="I194" i="29"/>
  <c r="I193" i="29"/>
  <c r="I195" i="29" l="1"/>
  <c r="I198" i="29" s="1"/>
  <c r="I200" i="29" s="1"/>
  <c r="E165" i="28" l="1"/>
  <c r="G165" i="28" s="1"/>
  <c r="E15" i="28"/>
  <c r="F38" i="8" l="1"/>
  <c r="F37" i="8"/>
  <c r="F36" i="8"/>
  <c r="C291" i="29" l="1"/>
  <c r="H473" i="29" l="1"/>
  <c r="H472" i="29"/>
  <c r="H471" i="29"/>
  <c r="H470" i="29"/>
  <c r="H469" i="29"/>
  <c r="H468" i="29"/>
  <c r="H466" i="29"/>
  <c r="H465" i="29"/>
  <c r="H464" i="29"/>
  <c r="H463" i="29"/>
  <c r="H462" i="29"/>
  <c r="H461" i="29"/>
  <c r="H460" i="29"/>
  <c r="H459" i="29"/>
  <c r="H457" i="29"/>
  <c r="H456" i="29"/>
  <c r="H334" i="29"/>
  <c r="H337" i="29"/>
  <c r="H342" i="29"/>
  <c r="H379" i="29"/>
  <c r="H381" i="29"/>
  <c r="H300" i="29"/>
  <c r="H299" i="29"/>
  <c r="H298" i="29"/>
  <c r="H297" i="29"/>
  <c r="H296" i="29"/>
  <c r="H295" i="29"/>
  <c r="H294" i="29"/>
  <c r="H293" i="29"/>
  <c r="H87" i="29"/>
  <c r="H86" i="29"/>
  <c r="H85" i="29"/>
  <c r="H84" i="29"/>
  <c r="H83" i="29"/>
  <c r="H82" i="29"/>
  <c r="H80" i="29"/>
  <c r="H78" i="29"/>
  <c r="H76" i="29"/>
  <c r="H75" i="29"/>
  <c r="H73" i="29"/>
  <c r="G15" i="28" l="1"/>
  <c r="E317" i="29" l="1"/>
  <c r="D317" i="29"/>
  <c r="T187" i="29" l="1"/>
  <c r="X187" i="29"/>
  <c r="Y187" i="29" s="1"/>
  <c r="X189" i="29" l="1"/>
  <c r="X192" i="29" s="1"/>
  <c r="X200" i="29"/>
  <c r="X201" i="29" s="1"/>
  <c r="X195" i="29"/>
  <c r="X197" i="29"/>
  <c r="V161" i="29"/>
  <c r="O108" i="29" s="1"/>
  <c r="T161" i="29"/>
  <c r="O109" i="29" l="1"/>
  <c r="V182" i="29"/>
  <c r="I189" i="29"/>
  <c r="G189" i="29"/>
  <c r="F189" i="29"/>
  <c r="E189" i="29"/>
  <c r="O116" i="29" l="1"/>
  <c r="M189" i="29"/>
  <c r="L189" i="29"/>
  <c r="M182" i="29"/>
  <c r="L182" i="29"/>
  <c r="M158" i="29"/>
  <c r="L158" i="29"/>
  <c r="K163" i="29"/>
  <c r="K164" i="29"/>
  <c r="K165" i="29"/>
  <c r="K166" i="29"/>
  <c r="K167" i="29"/>
  <c r="K168" i="29"/>
  <c r="K171" i="29"/>
  <c r="K173" i="29"/>
  <c r="K174" i="29"/>
  <c r="K175" i="29"/>
  <c r="K176" i="29"/>
  <c r="K177" i="29"/>
  <c r="K178" i="29"/>
  <c r="K179" i="29"/>
  <c r="K180" i="29"/>
  <c r="K181" i="29"/>
  <c r="K161" i="29"/>
  <c r="K162" i="29"/>
  <c r="E182" i="29"/>
  <c r="E191" i="29" s="1"/>
  <c r="K169" i="29" s="1"/>
  <c r="E158" i="29"/>
  <c r="D158" i="29"/>
  <c r="D189" i="29"/>
  <c r="D161" i="28" l="1"/>
  <c r="M183" i="29"/>
  <c r="T193" i="29"/>
  <c r="L191" i="29"/>
  <c r="M191" i="29"/>
  <c r="G161" i="28" l="1"/>
  <c r="K170" i="29"/>
  <c r="M192" i="29"/>
  <c r="F113" i="29"/>
  <c r="F111" i="29"/>
  <c r="F108" i="29"/>
  <c r="F107" i="29"/>
  <c r="J112" i="29"/>
  <c r="J111" i="29"/>
  <c r="J108" i="29"/>
  <c r="L111" i="29"/>
  <c r="L108" i="29"/>
  <c r="I107" i="29"/>
  <c r="I108" i="29" l="1"/>
  <c r="I112" i="29"/>
  <c r="I111" i="29"/>
  <c r="G220" i="29" l="1"/>
  <c r="I232" i="29" l="1"/>
  <c r="F220" i="29"/>
  <c r="E20" i="28" l="1"/>
  <c r="G20" i="28" s="1"/>
  <c r="D234" i="29"/>
  <c r="E385" i="29" l="1"/>
  <c r="E286" i="29" l="1"/>
  <c r="E285" i="29"/>
  <c r="E283" i="29"/>
  <c r="E281" i="29"/>
  <c r="E275" i="29"/>
  <c r="D286" i="29"/>
  <c r="D285" i="29"/>
  <c r="D283" i="29"/>
  <c r="D281" i="29"/>
  <c r="D279" i="29"/>
  <c r="H283" i="29" l="1"/>
  <c r="H281" i="29"/>
  <c r="H285" i="29"/>
  <c r="H279" i="29"/>
  <c r="H286" i="29"/>
  <c r="H277" i="29"/>
  <c r="D275" i="29"/>
  <c r="H275" i="29" s="1"/>
  <c r="E274" i="29"/>
  <c r="D274" i="29"/>
  <c r="E273" i="29"/>
  <c r="D273" i="29"/>
  <c r="E271" i="29"/>
  <c r="D271" i="29"/>
  <c r="E269" i="29"/>
  <c r="D269" i="29"/>
  <c r="E267" i="29"/>
  <c r="D267" i="29"/>
  <c r="E266" i="29"/>
  <c r="D266" i="29"/>
  <c r="E264" i="29"/>
  <c r="D264" i="29"/>
  <c r="D292" i="29" s="1"/>
  <c r="E263" i="29"/>
  <c r="D263" i="29"/>
  <c r="D291" i="29" s="1"/>
  <c r="E262" i="29"/>
  <c r="D262" i="29"/>
  <c r="E261" i="29"/>
  <c r="D261" i="29"/>
  <c r="D290" i="29" s="1"/>
  <c r="H290" i="29" s="1"/>
  <c r="E260" i="29"/>
  <c r="D260" i="29"/>
  <c r="E259" i="29"/>
  <c r="D259" i="29"/>
  <c r="H260" i="29" l="1"/>
  <c r="H262" i="29"/>
  <c r="H269" i="29"/>
  <c r="H271" i="29"/>
  <c r="H273" i="29"/>
  <c r="H259" i="29"/>
  <c r="H261" i="29"/>
  <c r="H267" i="29"/>
  <c r="H274" i="29"/>
  <c r="H292" i="29"/>
  <c r="H264" i="29"/>
  <c r="D301" i="29"/>
  <c r="H301" i="29" s="1"/>
  <c r="H266" i="29"/>
  <c r="H291" i="29"/>
  <c r="H263" i="29"/>
  <c r="F193" i="29" l="1"/>
  <c r="D302" i="29" l="1"/>
  <c r="E302" i="29"/>
  <c r="D287" i="29"/>
  <c r="D288" i="29" s="1"/>
  <c r="E287" i="29"/>
  <c r="E288" i="29" s="1"/>
  <c r="H287" i="29" l="1"/>
  <c r="H302" i="29"/>
  <c r="H444" i="29" l="1"/>
  <c r="C21" i="8"/>
  <c r="C13" i="8"/>
  <c r="C8" i="8"/>
  <c r="C36" i="8" l="1"/>
  <c r="C41" i="8"/>
  <c r="L113" i="29" l="1"/>
  <c r="I113" i="29" l="1"/>
  <c r="L106" i="29"/>
  <c r="J106" i="29"/>
  <c r="F106" i="29"/>
  <c r="I106" i="29" l="1"/>
  <c r="D113" i="29"/>
  <c r="E387" i="29" l="1"/>
  <c r="E388" i="29" s="1"/>
  <c r="D387" i="29"/>
  <c r="D388" i="29" s="1"/>
  <c r="F252" i="29"/>
  <c r="E322" i="29" l="1"/>
  <c r="D322" i="29"/>
  <c r="E314" i="29"/>
  <c r="D314" i="29"/>
  <c r="D24" i="28" l="1"/>
  <c r="G28" i="8" s="1"/>
  <c r="E97" i="29"/>
  <c r="E315" i="29" l="1"/>
  <c r="D315" i="29"/>
  <c r="E69" i="29" l="1"/>
  <c r="E380" i="29" l="1"/>
  <c r="D380" i="29"/>
  <c r="C380" i="29"/>
  <c r="E393" i="29"/>
  <c r="F380" i="29" l="1"/>
  <c r="H380" i="29"/>
  <c r="E193" i="29" l="1"/>
  <c r="D97" i="29" l="1"/>
  <c r="E88" i="29"/>
  <c r="D25" i="28" l="1"/>
  <c r="D88" i="29"/>
  <c r="D476" i="29"/>
  <c r="E475" i="29"/>
  <c r="G25" i="28" l="1"/>
  <c r="H474" i="29"/>
  <c r="H88" i="29"/>
  <c r="E404" i="29"/>
  <c r="E405" i="29"/>
  <c r="E407" i="29"/>
  <c r="E408" i="29"/>
  <c r="E410" i="29"/>
  <c r="E411" i="29"/>
  <c r="E414" i="29"/>
  <c r="E415" i="29"/>
  <c r="E416" i="29"/>
  <c r="E418" i="29"/>
  <c r="E419" i="29"/>
  <c r="E398" i="29"/>
  <c r="E413" i="29" l="1"/>
  <c r="E406" i="29"/>
  <c r="E417" i="29"/>
  <c r="E409" i="29"/>
  <c r="E403" i="29"/>
  <c r="E397" i="29"/>
  <c r="G16" i="28"/>
  <c r="E447" i="29" l="1"/>
  <c r="E448" i="29" s="1"/>
  <c r="E476" i="29"/>
  <c r="M114" i="29"/>
  <c r="S189" i="29"/>
  <c r="S182" i="29"/>
  <c r="P189" i="29"/>
  <c r="O189" i="29"/>
  <c r="P182" i="29"/>
  <c r="O182" i="29"/>
  <c r="O191" i="29" l="1"/>
  <c r="P191" i="29"/>
  <c r="S191" i="29"/>
  <c r="M116" i="29" l="1"/>
  <c r="R189" i="29"/>
  <c r="J189" i="29"/>
  <c r="W189" i="29"/>
  <c r="V189" i="29"/>
  <c r="V191" i="29" s="1"/>
  <c r="R182" i="29"/>
  <c r="J182" i="29"/>
  <c r="I182" i="29"/>
  <c r="F182" i="29"/>
  <c r="G182" i="29"/>
  <c r="W182" i="29"/>
  <c r="D182" i="29"/>
  <c r="E183" i="29" s="1"/>
  <c r="I183" i="29" l="1"/>
  <c r="W184" i="29"/>
  <c r="W191" i="29"/>
  <c r="G184" i="29"/>
  <c r="R191" i="29"/>
  <c r="D107" i="29"/>
  <c r="I191" i="29"/>
  <c r="F191" i="29"/>
  <c r="J191" i="29"/>
  <c r="D191" i="29"/>
  <c r="G191" i="29"/>
  <c r="J114" i="29"/>
  <c r="J109" i="29"/>
  <c r="X191" i="29" l="1"/>
  <c r="J116" i="29"/>
  <c r="G192" i="29"/>
  <c r="T191" i="29"/>
  <c r="D126" i="29"/>
  <c r="D125" i="29"/>
  <c r="D124" i="29"/>
  <c r="D121" i="29"/>
  <c r="D120" i="29"/>
  <c r="D119" i="29"/>
  <c r="D112" i="29"/>
  <c r="D111" i="29"/>
  <c r="D108" i="29"/>
  <c r="D106" i="29"/>
  <c r="F109" i="29"/>
  <c r="F114" i="29"/>
  <c r="G114" i="29"/>
  <c r="G109" i="29"/>
  <c r="E114" i="29"/>
  <c r="E109" i="29"/>
  <c r="W133" i="29"/>
  <c r="W134" i="29" s="1"/>
  <c r="W137" i="29"/>
  <c r="G116" i="29" l="1"/>
  <c r="F116" i="29"/>
  <c r="F117" i="29" s="1"/>
  <c r="E116" i="29"/>
  <c r="E102" i="29"/>
  <c r="G102" i="29"/>
  <c r="E2" i="31" l="1"/>
  <c r="D18" i="28" l="1"/>
  <c r="E255" i="29"/>
  <c r="D255" i="29"/>
  <c r="D59" i="29"/>
  <c r="D102" i="29"/>
  <c r="F239" i="29"/>
  <c r="E239" i="29"/>
  <c r="E90" i="29"/>
  <c r="D90" i="29"/>
  <c r="C241" i="29"/>
  <c r="C90" i="29"/>
  <c r="G18" i="28" l="1"/>
  <c r="G26" i="8"/>
  <c r="H18" i="28"/>
  <c r="G24" i="28"/>
  <c r="C445" i="29" l="1"/>
  <c r="D442" i="29"/>
  <c r="H442" i="29" s="1"/>
  <c r="C442" i="29"/>
  <c r="D438" i="29"/>
  <c r="H438" i="29" s="1"/>
  <c r="C438" i="29"/>
  <c r="D437" i="29"/>
  <c r="H437" i="29" s="1"/>
  <c r="C437" i="29"/>
  <c r="D436" i="29"/>
  <c r="H436" i="29" s="1"/>
  <c r="C436" i="29"/>
  <c r="D435" i="29"/>
  <c r="H435" i="29" s="1"/>
  <c r="C435" i="29"/>
  <c r="D434" i="29"/>
  <c r="H434" i="29" s="1"/>
  <c r="C434" i="29"/>
  <c r="D433" i="29"/>
  <c r="H433" i="29" s="1"/>
  <c r="C433" i="29"/>
  <c r="D432" i="29"/>
  <c r="H432" i="29" s="1"/>
  <c r="C432" i="29"/>
  <c r="D431" i="29"/>
  <c r="H431" i="29" s="1"/>
  <c r="C431" i="29"/>
  <c r="D430" i="29"/>
  <c r="C430" i="29"/>
  <c r="C429" i="29"/>
  <c r="D427" i="29"/>
  <c r="H427" i="29" s="1"/>
  <c r="C427" i="29"/>
  <c r="D426" i="29"/>
  <c r="H426" i="29" s="1"/>
  <c r="C426" i="29"/>
  <c r="D425" i="29"/>
  <c r="H425" i="29" s="1"/>
  <c r="C425" i="29"/>
  <c r="D424" i="29"/>
  <c r="H424" i="29" s="1"/>
  <c r="C424" i="29"/>
  <c r="D423" i="29"/>
  <c r="H423" i="29" s="1"/>
  <c r="C423" i="29"/>
  <c r="D421" i="29"/>
  <c r="C421" i="29"/>
  <c r="D419" i="29"/>
  <c r="H419" i="29" s="1"/>
  <c r="C419" i="29"/>
  <c r="D418" i="29"/>
  <c r="C418" i="29"/>
  <c r="D416" i="29"/>
  <c r="H416" i="29" s="1"/>
  <c r="C416" i="29"/>
  <c r="D415" i="29"/>
  <c r="H415" i="29" s="1"/>
  <c r="C415" i="29"/>
  <c r="D414" i="29"/>
  <c r="C414" i="29"/>
  <c r="D411" i="29"/>
  <c r="H411" i="29" s="1"/>
  <c r="C411" i="29"/>
  <c r="D410" i="29"/>
  <c r="C410" i="29"/>
  <c r="D408" i="29"/>
  <c r="H408" i="29" s="1"/>
  <c r="C408" i="29"/>
  <c r="D407" i="29"/>
  <c r="C407" i="29"/>
  <c r="D405" i="29"/>
  <c r="H405" i="29" s="1"/>
  <c r="C405" i="29"/>
  <c r="D404" i="29"/>
  <c r="C404" i="29"/>
  <c r="D402" i="29"/>
  <c r="C402" i="29"/>
  <c r="D401" i="29"/>
  <c r="H401" i="29" s="1"/>
  <c r="C401" i="29"/>
  <c r="D400" i="29"/>
  <c r="H400" i="29" s="1"/>
  <c r="C400" i="29"/>
  <c r="D399" i="29"/>
  <c r="H399" i="29" s="1"/>
  <c r="C399" i="29"/>
  <c r="D398" i="29"/>
  <c r="C398" i="29"/>
  <c r="E378" i="29"/>
  <c r="E376" i="29"/>
  <c r="E375" i="29"/>
  <c r="E374" i="29"/>
  <c r="E372" i="29"/>
  <c r="E371" i="29"/>
  <c r="E370" i="29"/>
  <c r="E369" i="29"/>
  <c r="E368" i="29"/>
  <c r="E366" i="29"/>
  <c r="E365" i="29"/>
  <c r="E364" i="29"/>
  <c r="E362" i="29"/>
  <c r="E361" i="29"/>
  <c r="E360" i="29"/>
  <c r="E358" i="29"/>
  <c r="E357" i="29"/>
  <c r="E356" i="29"/>
  <c r="E355" i="29"/>
  <c r="E354" i="29"/>
  <c r="E353" i="29"/>
  <c r="E352" i="29"/>
  <c r="E351" i="29"/>
  <c r="E350" i="29"/>
  <c r="E348" i="29"/>
  <c r="E347" i="29"/>
  <c r="E346" i="29"/>
  <c r="E345" i="29"/>
  <c r="E344" i="29"/>
  <c r="E341" i="29"/>
  <c r="E340" i="29"/>
  <c r="E339" i="29"/>
  <c r="E336" i="29"/>
  <c r="E335" i="29"/>
  <c r="D378" i="29"/>
  <c r="C378" i="29"/>
  <c r="D376" i="29"/>
  <c r="C376" i="29"/>
  <c r="D375" i="29"/>
  <c r="C375" i="29"/>
  <c r="D374" i="29"/>
  <c r="C374" i="29"/>
  <c r="D372" i="29"/>
  <c r="C372" i="29"/>
  <c r="D371" i="29"/>
  <c r="C371" i="29"/>
  <c r="D370" i="29"/>
  <c r="C370" i="29"/>
  <c r="D369" i="29"/>
  <c r="C369" i="29"/>
  <c r="D368" i="29"/>
  <c r="C368" i="29"/>
  <c r="D366" i="29"/>
  <c r="C366" i="29"/>
  <c r="D365" i="29"/>
  <c r="C365" i="29"/>
  <c r="D364" i="29"/>
  <c r="C364" i="29"/>
  <c r="D362" i="29"/>
  <c r="C362" i="29"/>
  <c r="C361" i="29"/>
  <c r="C360" i="29"/>
  <c r="D358" i="29"/>
  <c r="C358" i="29"/>
  <c r="D357" i="29"/>
  <c r="C357" i="29"/>
  <c r="D356" i="29"/>
  <c r="C356" i="29"/>
  <c r="D355" i="29"/>
  <c r="C355" i="29"/>
  <c r="D354" i="29"/>
  <c r="C354" i="29"/>
  <c r="D353" i="29"/>
  <c r="C353" i="29"/>
  <c r="D352" i="29"/>
  <c r="C352" i="29"/>
  <c r="D351" i="29"/>
  <c r="C351" i="29"/>
  <c r="D350" i="29"/>
  <c r="C350" i="29"/>
  <c r="D348" i="29"/>
  <c r="C348" i="29"/>
  <c r="D347" i="29"/>
  <c r="C347" i="29"/>
  <c r="D346" i="29"/>
  <c r="C346" i="29"/>
  <c r="D345" i="29"/>
  <c r="C345" i="29"/>
  <c r="D344" i="29"/>
  <c r="C344" i="29"/>
  <c r="D341" i="29"/>
  <c r="C341" i="29"/>
  <c r="D340" i="29"/>
  <c r="C340" i="29"/>
  <c r="D339" i="29"/>
  <c r="C339" i="29"/>
  <c r="D336" i="29"/>
  <c r="C336" i="29"/>
  <c r="D335" i="29"/>
  <c r="C335" i="29"/>
  <c r="E326" i="29"/>
  <c r="D326" i="29"/>
  <c r="C326" i="29"/>
  <c r="E325" i="29"/>
  <c r="C325" i="29"/>
  <c r="H15" i="8"/>
  <c r="D153" i="29"/>
  <c r="D148" i="29"/>
  <c r="H430" i="29" l="1"/>
  <c r="H402" i="29"/>
  <c r="D417" i="29"/>
  <c r="F417" i="29" s="1"/>
  <c r="F401" i="29"/>
  <c r="F407" i="29"/>
  <c r="F414" i="29"/>
  <c r="F419" i="29"/>
  <c r="F425" i="29"/>
  <c r="F430" i="29"/>
  <c r="F434" i="29"/>
  <c r="F438" i="29"/>
  <c r="D397" i="29"/>
  <c r="F397" i="29" s="1"/>
  <c r="F399" i="29"/>
  <c r="F404" i="29"/>
  <c r="F410" i="29"/>
  <c r="F416" i="29"/>
  <c r="F423" i="29"/>
  <c r="F427" i="29"/>
  <c r="F432" i="29"/>
  <c r="F436" i="29"/>
  <c r="D420" i="29"/>
  <c r="F420" i="29" s="1"/>
  <c r="D403" i="29"/>
  <c r="F403" i="29" s="1"/>
  <c r="D406" i="29"/>
  <c r="F406" i="29" s="1"/>
  <c r="D409" i="29"/>
  <c r="F409" i="29" s="1"/>
  <c r="D413" i="29"/>
  <c r="F413" i="29" s="1"/>
  <c r="F398" i="29"/>
  <c r="F400" i="29"/>
  <c r="F402" i="29"/>
  <c r="F405" i="29"/>
  <c r="F408" i="29"/>
  <c r="F411" i="29"/>
  <c r="F415" i="29"/>
  <c r="F418" i="29"/>
  <c r="F421" i="29"/>
  <c r="F424" i="29"/>
  <c r="F426" i="29"/>
  <c r="F429" i="29"/>
  <c r="F431" i="29"/>
  <c r="F433" i="29"/>
  <c r="F435" i="29"/>
  <c r="F437" i="29"/>
  <c r="F442" i="29"/>
  <c r="G33" i="28"/>
  <c r="F336" i="29"/>
  <c r="F344" i="29"/>
  <c r="F362" i="29"/>
  <c r="F365" i="29"/>
  <c r="F370" i="29"/>
  <c r="F372" i="29"/>
  <c r="F375" i="29"/>
  <c r="F335" i="29"/>
  <c r="F347" i="29"/>
  <c r="F352" i="29"/>
  <c r="F356" i="29"/>
  <c r="F366" i="29"/>
  <c r="F371" i="29"/>
  <c r="F378" i="29"/>
  <c r="D382" i="29"/>
  <c r="F376" i="29"/>
  <c r="F345" i="29"/>
  <c r="F350" i="29"/>
  <c r="F354" i="29"/>
  <c r="F358" i="29"/>
  <c r="F364" i="29"/>
  <c r="F374" i="29"/>
  <c r="H340" i="29"/>
  <c r="H346" i="29"/>
  <c r="H351" i="29"/>
  <c r="H355" i="29"/>
  <c r="H365" i="29"/>
  <c r="H410" i="29"/>
  <c r="H404" i="29"/>
  <c r="H407" i="29"/>
  <c r="H414" i="29"/>
  <c r="H333" i="29"/>
  <c r="H360" i="29"/>
  <c r="H418" i="29"/>
  <c r="H421" i="29"/>
  <c r="H429" i="29"/>
  <c r="H336" i="29"/>
  <c r="H344" i="29"/>
  <c r="H348" i="29"/>
  <c r="H353" i="29"/>
  <c r="H357" i="29"/>
  <c r="H362" i="29"/>
  <c r="H368" i="29"/>
  <c r="H372" i="29"/>
  <c r="H378" i="29"/>
  <c r="H370" i="29"/>
  <c r="H335" i="29"/>
  <c r="H339" i="29"/>
  <c r="H341" i="29"/>
  <c r="H345" i="29"/>
  <c r="H347" i="29"/>
  <c r="H350" i="29"/>
  <c r="H352" i="29"/>
  <c r="H354" i="29"/>
  <c r="H356" i="29"/>
  <c r="H358" i="29"/>
  <c r="H364" i="29"/>
  <c r="H369" i="29"/>
  <c r="H374" i="29"/>
  <c r="H375" i="29"/>
  <c r="G398" i="29"/>
  <c r="H361" i="29"/>
  <c r="H366" i="29"/>
  <c r="H371" i="29"/>
  <c r="H376" i="29"/>
  <c r="H398" i="29"/>
  <c r="D328" i="29"/>
  <c r="D155" i="29"/>
  <c r="E328" i="29"/>
  <c r="D383" i="29" l="1"/>
  <c r="E382" i="29"/>
  <c r="E383" i="29"/>
  <c r="F198" i="29"/>
  <c r="D195" i="29"/>
  <c r="D114" i="29"/>
  <c r="D141" i="29"/>
  <c r="D136" i="29"/>
  <c r="H382" i="29" l="1"/>
  <c r="D143" i="29"/>
  <c r="D157" i="29" s="1"/>
  <c r="D13" i="28"/>
  <c r="D122" i="29"/>
  <c r="D109" i="29"/>
  <c r="D127" i="29"/>
  <c r="S116" i="29" l="1"/>
  <c r="G13" i="28"/>
  <c r="F212" i="29"/>
  <c r="D116" i="29"/>
  <c r="D117" i="29" s="1"/>
  <c r="D129" i="29"/>
  <c r="E198" i="29" l="1"/>
  <c r="G202" i="29" s="1"/>
  <c r="D445" i="29"/>
  <c r="D428" i="29" s="1"/>
  <c r="G193" i="29"/>
  <c r="D198" i="29"/>
  <c r="D131" i="29"/>
  <c r="F445" i="29" l="1"/>
  <c r="I210" i="29"/>
  <c r="D215" i="29"/>
  <c r="G215" i="29"/>
  <c r="E21" i="28"/>
  <c r="G205" i="29" l="1"/>
  <c r="D212" i="29"/>
  <c r="G21" i="28"/>
  <c r="F11" i="28" l="1"/>
  <c r="D11" i="28"/>
  <c r="J236" i="29" l="1"/>
  <c r="J238" i="29" s="1"/>
  <c r="C7" i="28"/>
  <c r="F166" i="28"/>
  <c r="E212" i="29" l="1"/>
  <c r="H18" i="8" l="1"/>
  <c r="H17" i="8"/>
  <c r="H16" i="8"/>
  <c r="F13" i="8"/>
  <c r="E13" i="8"/>
  <c r="D13" i="8"/>
  <c r="H10" i="8"/>
  <c r="H9" i="8"/>
  <c r="H12" i="8" l="1"/>
  <c r="G28" i="28" l="1"/>
  <c r="I109" i="29" l="1"/>
  <c r="L109" i="29"/>
  <c r="I114" i="29" l="1"/>
  <c r="I116" i="29" s="1"/>
  <c r="L114" i="29"/>
  <c r="L116" i="29" s="1"/>
  <c r="O117" i="29" s="1"/>
  <c r="I117" i="29" l="1"/>
  <c r="M117" i="29"/>
  <c r="D391" i="29" l="1"/>
  <c r="D393" i="29" s="1"/>
  <c r="H19" i="28" l="1"/>
  <c r="F36" i="29" l="1"/>
  <c r="F28" i="29"/>
  <c r="D26" i="29"/>
  <c r="G19" i="28" l="1"/>
  <c r="G46" i="29" l="1"/>
  <c r="D68" i="29" l="1"/>
  <c r="D14" i="28" l="1"/>
  <c r="D69" i="29"/>
  <c r="G27" i="8" l="1"/>
  <c r="G29" i="8" s="1"/>
  <c r="H14" i="28"/>
  <c r="G14" i="28"/>
  <c r="H11" i="8" l="1"/>
  <c r="H13" i="8" s="1"/>
  <c r="G13" i="8"/>
  <c r="E220" i="29" l="1"/>
  <c r="J218" i="29" s="1"/>
  <c r="F234" i="29" l="1"/>
  <c r="G227" i="29" l="1"/>
  <c r="I228" i="29"/>
  <c r="I223" i="29"/>
  <c r="I227" i="29" l="1"/>
  <c r="D162" i="28"/>
  <c r="D17" i="28"/>
  <c r="H17" i="28" s="1"/>
  <c r="E234" i="29"/>
  <c r="I233" i="29"/>
  <c r="I234" i="29" s="1"/>
  <c r="E237" i="29" l="1"/>
  <c r="J234" i="29"/>
  <c r="G162" i="28" s="1"/>
  <c r="G17" i="28"/>
  <c r="D170" i="28"/>
  <c r="D2" i="28" l="1"/>
  <c r="I98" i="28"/>
  <c r="D166" i="28"/>
  <c r="D174" i="28"/>
  <c r="G21" i="8" l="1"/>
  <c r="H20" i="8"/>
  <c r="H21" i="8" s="1"/>
  <c r="D447" i="29" l="1"/>
  <c r="D448" i="29" s="1"/>
  <c r="F428" i="29"/>
  <c r="D480"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Asesoría Dirección</author>
    <author>Silvia Tortosa</author>
  </authors>
  <commentList>
    <comment ref="C23" authorId="0" shapeId="0" xr:uid="{00000000-0006-0000-0000-000001000000}">
      <text>
        <r>
          <rPr>
            <b/>
            <sz val="9"/>
            <color indexed="81"/>
            <rFont val="Tahoma"/>
            <family val="2"/>
          </rPr>
          <t>Asesoría Dirección:</t>
        </r>
        <r>
          <rPr>
            <sz val="9"/>
            <color indexed="81"/>
            <rFont val="Tahoma"/>
            <family val="2"/>
          </rPr>
          <t xml:space="preserve">
Ejemplo   2019-2020</t>
        </r>
      </text>
    </comment>
    <comment ref="D23" authorId="0" shapeId="0" xr:uid="{00000000-0006-0000-0000-000002000000}">
      <text>
        <r>
          <rPr>
            <b/>
            <sz val="9"/>
            <color indexed="81"/>
            <rFont val="Tahoma"/>
            <family val="2"/>
          </rPr>
          <t>Asesoría Dirección:</t>
        </r>
        <r>
          <rPr>
            <sz val="9"/>
            <color indexed="81"/>
            <rFont val="Tahoma"/>
            <family val="2"/>
          </rPr>
          <t xml:space="preserve">
Datos del Flujo de Efectivo del archivo original</t>
        </r>
      </text>
    </comment>
    <comment ref="D28" authorId="1" shapeId="0" xr:uid="{00000000-0006-0000-0000-000003000000}">
      <text>
        <r>
          <rPr>
            <b/>
            <sz val="9"/>
            <color indexed="81"/>
            <rFont val="Tahoma"/>
            <family val="2"/>
          </rPr>
          <t>Silvia Tortosa:</t>
        </r>
        <r>
          <rPr>
            <sz val="9"/>
            <color indexed="81"/>
            <rFont val="Tahoma"/>
            <family val="2"/>
          </rPr>
          <t xml:space="preserve">
Fondo interno</t>
        </r>
      </text>
    </comment>
    <comment ref="D30" authorId="1" shapeId="0" xr:uid="{00000000-0006-0000-0000-000004000000}">
      <text>
        <r>
          <rPr>
            <b/>
            <sz val="9"/>
            <color indexed="81"/>
            <rFont val="Tahoma"/>
            <family val="2"/>
          </rPr>
          <t>Silvia Tortosa:</t>
        </r>
        <r>
          <rPr>
            <sz val="9"/>
            <color indexed="81"/>
            <rFont val="Tahoma"/>
            <family val="2"/>
          </rPr>
          <t xml:space="preserve">
Fondo interno</t>
        </r>
      </text>
    </comment>
    <comment ref="D35" authorId="1" shapeId="0" xr:uid="{00000000-0006-0000-0000-000005000000}">
      <text>
        <r>
          <rPr>
            <b/>
            <sz val="9"/>
            <color indexed="81"/>
            <rFont val="Tahoma"/>
            <family val="2"/>
          </rPr>
          <t>Silvia Tortosa:</t>
        </r>
        <r>
          <rPr>
            <sz val="9"/>
            <color indexed="81"/>
            <rFont val="Tahoma"/>
            <family val="2"/>
          </rPr>
          <t xml:space="preserve">
Fondo interno</t>
        </r>
      </text>
    </comment>
    <comment ref="C64" authorId="1" shapeId="0" xr:uid="{00000000-0006-0000-0000-000006000000}">
      <text>
        <r>
          <rPr>
            <b/>
            <sz val="9"/>
            <color indexed="81"/>
            <rFont val="Tahoma"/>
            <family val="2"/>
          </rPr>
          <t>Silvia Tortosa:</t>
        </r>
        <r>
          <rPr>
            <sz val="9"/>
            <color indexed="81"/>
            <rFont val="Tahoma"/>
            <family val="2"/>
          </rPr>
          <t xml:space="preserve">
La suma de la cuenta del Tesoro y el Fondo Reponible  es =al balance a la fecha del reporte de disponibilidad de la cuenta del Tesoro.</t>
        </r>
      </text>
    </comment>
    <comment ref="C66" authorId="1" shapeId="0" xr:uid="{00000000-0006-0000-0000-000007000000}">
      <text>
        <r>
          <rPr>
            <b/>
            <sz val="9"/>
            <color indexed="81"/>
            <rFont val="Tahoma"/>
            <family val="2"/>
          </rPr>
          <t>Silvia Tortosa:</t>
        </r>
        <r>
          <rPr>
            <sz val="9"/>
            <color indexed="81"/>
            <rFont val="Tahoma"/>
            <family val="2"/>
          </rPr>
          <t xml:space="preserve">
La suma de la cuenta del Tesoro y el Fondo Reponible  es =al balance a la fecha del reporte de disponibilidad de la cuenta del Tesoro.</t>
        </r>
      </text>
    </comment>
    <comment ref="C68" authorId="1" shapeId="0" xr:uid="{00000000-0006-0000-0000-000008000000}">
      <text>
        <r>
          <rPr>
            <b/>
            <sz val="9"/>
            <color indexed="81"/>
            <rFont val="Tahoma"/>
            <family val="2"/>
          </rPr>
          <t>Silvia Tortosa:</t>
        </r>
        <r>
          <rPr>
            <sz val="9"/>
            <color indexed="81"/>
            <rFont val="Tahoma"/>
            <family val="2"/>
          </rPr>
          <t xml:space="preserve">
La suma de la cuenta del Tesoro y el Fondo Reponible  es =al balance a la fecha del reporte de disponibilidad de la cuenta del Tesoro</t>
        </r>
      </text>
    </comment>
    <comment ref="C102" authorId="0" shapeId="0" xr:uid="{00000000-0006-0000-0000-000009000000}">
      <text>
        <r>
          <rPr>
            <b/>
            <sz val="9"/>
            <color indexed="81"/>
            <rFont val="Tahoma"/>
            <family val="2"/>
          </rPr>
          <t>Asesoría Dirección:</t>
        </r>
        <r>
          <rPr>
            <sz val="9"/>
            <color indexed="81"/>
            <rFont val="Tahoma"/>
            <family val="2"/>
          </rPr>
          <t xml:space="preserve">
</t>
        </r>
      </text>
    </comment>
    <comment ref="G102" authorId="1" shapeId="0" xr:uid="{00000000-0006-0000-0000-00000A000000}">
      <text>
        <r>
          <rPr>
            <b/>
            <sz val="9"/>
            <color indexed="81"/>
            <rFont val="Tahoma"/>
            <family val="2"/>
          </rPr>
          <t>Silvia Tortosa:</t>
        </r>
        <r>
          <rPr>
            <sz val="9"/>
            <color indexed="81"/>
            <rFont val="Tahoma"/>
            <family val="2"/>
          </rPr>
          <t xml:space="preserve">
Copiar y pegar los totales del año anterior  de la columna "Activo al Corte".
</t>
        </r>
      </text>
    </comment>
    <comment ref="S104" authorId="1" shapeId="0" xr:uid="{00000000-0006-0000-0000-00000B000000}">
      <text>
        <r>
          <rPr>
            <b/>
            <sz val="9"/>
            <color indexed="81"/>
            <rFont val="Tahoma"/>
            <family val="2"/>
          </rPr>
          <t>Silvia Tortosa:</t>
        </r>
        <r>
          <rPr>
            <sz val="9"/>
            <color indexed="81"/>
            <rFont val="Tahoma"/>
            <family val="2"/>
          </rPr>
          <t xml:space="preserve">
Directamente del archivo "Reporte general de archivos descargados " del período, columna 2 Valor en libros2 .</t>
        </r>
      </text>
    </comment>
    <comment ref="C106" authorId="0" shapeId="0" xr:uid="{00000000-0006-0000-0000-00000C000000}">
      <text>
        <r>
          <rPr>
            <b/>
            <sz val="9"/>
            <color indexed="81"/>
            <rFont val="Tahoma"/>
            <family val="2"/>
          </rPr>
          <t>Asesoría Dirección:</t>
        </r>
        <r>
          <rPr>
            <sz val="9"/>
            <color indexed="81"/>
            <rFont val="Tahoma"/>
            <family val="2"/>
          </rPr>
          <t xml:space="preserve">
Sumatoria de objetal "Automóviles y Camiones" (Cuenta 2641)</t>
        </r>
      </text>
    </comment>
    <comment ref="F107" authorId="0" shapeId="0" xr:uid="{00000000-0006-0000-0000-00000D000000}">
      <text>
        <r>
          <rPr>
            <b/>
            <sz val="9"/>
            <color indexed="81"/>
            <rFont val="Tahoma"/>
            <family val="2"/>
          </rPr>
          <t>Asesoría Dirección:</t>
        </r>
        <r>
          <rPr>
            <sz val="9"/>
            <color indexed="81"/>
            <rFont val="Tahoma"/>
            <family val="2"/>
          </rPr>
          <t xml:space="preserve">
Sumatoria de la de las compras en la cuenta 2631 ( columna "Monto Adq.RD$") del  "REPORTE GENERAL RESUMIDO POR OBJETALES", generado desde el 1/1/xxxx del período hasta el último día del corte requerido.</t>
        </r>
      </text>
    </comment>
    <comment ref="F108" authorId="0" shapeId="0" xr:uid="{00000000-0006-0000-0000-00000E000000}">
      <text>
        <r>
          <rPr>
            <b/>
            <sz val="9"/>
            <color indexed="81"/>
            <rFont val="Tahoma"/>
            <family val="2"/>
          </rPr>
          <t>Asesoría Dirección:</t>
        </r>
        <r>
          <rPr>
            <sz val="9"/>
            <color indexed="81"/>
            <rFont val="Tahoma"/>
            <family val="2"/>
          </rPr>
          <t xml:space="preserve">
Sumatoria de las compras en la cuenta 2631,  "Equipo médico y de laboratorio", (columna "Monto Adq.RD$") del  "REPORTE GENERAL RESUMIDO POR OBJETALES", generado desde el 1/1/xxxx del período hasta el último día del corte requerido.</t>
        </r>
      </text>
    </comment>
    <comment ref="E111" authorId="0" shapeId="0" xr:uid="{00000000-0006-0000-0000-00000F000000}">
      <text>
        <r>
          <rPr>
            <b/>
            <sz val="9"/>
            <color indexed="81"/>
            <rFont val="Tahoma"/>
            <family val="2"/>
          </rPr>
          <t>Asesoría Dirección:</t>
        </r>
        <r>
          <rPr>
            <sz val="9"/>
            <color indexed="81"/>
            <rFont val="Tahoma"/>
            <family val="2"/>
          </rPr>
          <t xml:space="preserve">
Sumatoria de objetal "Automóviles y Camiones" (Cuenta 2641) del "Reporte General de Activos Descargados General por Objetales, generado desde el 1/1/xxxx del período hasta el último día de la fecha fín del período del corte requerido.</t>
        </r>
      </text>
    </comment>
    <comment ref="C112" authorId="0" shapeId="0" xr:uid="{00000000-0006-0000-0000-000010000000}">
      <text>
        <r>
          <rPr>
            <b/>
            <sz val="9"/>
            <color indexed="81"/>
            <rFont val="Tahoma"/>
            <family val="2"/>
          </rPr>
          <t>Asesoría Dirección:</t>
        </r>
        <r>
          <rPr>
            <sz val="9"/>
            <color indexed="81"/>
            <rFont val="Tahoma"/>
            <family val="2"/>
          </rPr>
          <t xml:space="preserve">
Sumatoria de la columna "Valor Adquis.RD$"  del "Reporte General de Activos de Edificios, d/f 1/1/2000 a la fecha fin del período del corte.</t>
        </r>
      </text>
    </comment>
    <comment ref="L116" authorId="1" shapeId="0" xr:uid="{00000000-0006-0000-0000-000011000000}">
      <text>
        <r>
          <rPr>
            <b/>
            <sz val="9"/>
            <color indexed="81"/>
            <rFont val="Tahoma"/>
            <family val="2"/>
          </rPr>
          <t>Silvia Tortosa:</t>
        </r>
        <r>
          <rPr>
            <sz val="9"/>
            <color indexed="81"/>
            <rFont val="Tahoma"/>
            <family val="2"/>
          </rPr>
          <t xml:space="preserve">
Este monto debe ser igual que la suma del total del Valor en Libros  de las Adiciones (Columna S) + el de Ajuste  (Columna T). Las 3 celdas en color verde oscuro.</t>
        </r>
      </text>
    </comment>
    <comment ref="C124" authorId="0" shapeId="0" xr:uid="{00000000-0006-0000-0000-000012000000}">
      <text>
        <r>
          <rPr>
            <b/>
            <sz val="9"/>
            <color indexed="81"/>
            <rFont val="Tahoma"/>
            <family val="2"/>
          </rPr>
          <t>Asesoría Dirección:</t>
        </r>
        <r>
          <rPr>
            <sz val="9"/>
            <color indexed="81"/>
            <rFont val="Tahoma"/>
            <family val="2"/>
          </rPr>
          <t xml:space="preserve">
Sumatoria del "Reporte General de Activos Descargados", d/f 1/1/2000 a la fecha fin del período del corte.</t>
        </r>
      </text>
    </comment>
    <comment ref="C125" authorId="0" shapeId="0" xr:uid="{00000000-0006-0000-0000-000013000000}">
      <text>
        <r>
          <rPr>
            <b/>
            <sz val="9"/>
            <color indexed="81"/>
            <rFont val="Tahoma"/>
            <family val="2"/>
          </rPr>
          <t>Asesoría Dirección:</t>
        </r>
        <r>
          <rPr>
            <sz val="9"/>
            <color indexed="81"/>
            <rFont val="Tahoma"/>
            <family val="2"/>
          </rPr>
          <t xml:space="preserve">
Sumatoria de la "Deprec.Acum.RD$" del "Reporte General de Activos de Edificios, d/f 1/1/2000 a la fecha fin del período del corte.</t>
        </r>
      </text>
    </comment>
    <comment ref="E158" authorId="1" shapeId="0" xr:uid="{00000000-0006-0000-0000-000014000000}">
      <text>
        <r>
          <rPr>
            <b/>
            <sz val="9"/>
            <color indexed="81"/>
            <rFont val="Tahoma"/>
            <family val="2"/>
          </rPr>
          <t>Silvia Tortosa:</t>
        </r>
        <r>
          <rPr>
            <sz val="9"/>
            <color indexed="81"/>
            <rFont val="Tahoma"/>
            <family val="2"/>
          </rPr>
          <t xml:space="preserve">
Copiar y pegar los totales del año anterior  de la columna "Activo al Corte".
</t>
        </r>
      </text>
    </comment>
    <comment ref="M158" authorId="1" shapeId="0" xr:uid="{00000000-0006-0000-0000-000015000000}">
      <text>
        <r>
          <rPr>
            <b/>
            <sz val="9"/>
            <color indexed="81"/>
            <rFont val="Tahoma"/>
            <family val="2"/>
          </rPr>
          <t>Silvia Tortosa:</t>
        </r>
        <r>
          <rPr>
            <sz val="9"/>
            <color indexed="81"/>
            <rFont val="Tahoma"/>
            <family val="2"/>
          </rPr>
          <t xml:space="preserve">
Copiar y pegar los totales del año anterior  de la columna "Activo al Corte".
</t>
        </r>
      </text>
    </comment>
    <comment ref="F159" authorId="1" shapeId="0" xr:uid="{00000000-0006-0000-0000-000016000000}">
      <text>
        <r>
          <rPr>
            <b/>
            <sz val="9"/>
            <color indexed="81"/>
            <rFont val="Tahoma"/>
            <family val="2"/>
          </rPr>
          <t>Silvia Tortosa:</t>
        </r>
        <r>
          <rPr>
            <sz val="9"/>
            <color indexed="81"/>
            <rFont val="Tahoma"/>
            <family val="2"/>
          </rPr>
          <t xml:space="preserve">
Filtrar por letra el "Valor Adquis.RD$"  (del "Reporte General de Activos descargados, 1ro de enero al 31 de Dic del año corriente) y colocar en la celda correspondiente el activo descargado.</t>
        </r>
      </text>
    </comment>
    <comment ref="I159" authorId="1" shapeId="0" xr:uid="{00000000-0006-0000-0000-000017000000}">
      <text>
        <r>
          <rPr>
            <b/>
            <sz val="9"/>
            <color indexed="81"/>
            <rFont val="Tahoma"/>
            <family val="2"/>
          </rPr>
          <t>Silvia Tortosa:</t>
        </r>
        <r>
          <rPr>
            <sz val="9"/>
            <color indexed="81"/>
            <rFont val="Tahoma"/>
            <family val="2"/>
          </rPr>
          <t xml:space="preserve">
Filtrar por letra el "Valor Bien."  (del "Reporte General de Activos por Rango de Fecha", 1ro de enero al 31 de Dic del año corriente) y colocar en la celda correspondiente el  activo comprado.</t>
        </r>
      </text>
    </comment>
    <comment ref="O159" authorId="1" shapeId="0" xr:uid="{00000000-0006-0000-0000-000018000000}">
      <text>
        <r>
          <rPr>
            <b/>
            <sz val="9"/>
            <color indexed="81"/>
            <rFont val="Tahoma"/>
            <family val="2"/>
          </rPr>
          <t>Silvia Tortosa:</t>
        </r>
        <r>
          <rPr>
            <sz val="9"/>
            <color indexed="81"/>
            <rFont val="Tahoma"/>
            <family val="2"/>
          </rPr>
          <t xml:space="preserve">
Filtrar por letra el "Deprec.Acum."  (del "Reporte General de Activos descargados, 1ro de enero al 31 de Dic del año corriente) y colocar en la celda correspondiente valor de la depreciación del activo descargado.</t>
        </r>
      </text>
    </comment>
    <comment ref="R159" authorId="1" shapeId="0" xr:uid="{00000000-0006-0000-0000-000019000000}">
      <text>
        <r>
          <rPr>
            <b/>
            <sz val="9"/>
            <color indexed="81"/>
            <rFont val="Tahoma"/>
            <family val="2"/>
          </rPr>
          <t>Silvia Tortosa:</t>
        </r>
        <r>
          <rPr>
            <sz val="9"/>
            <color indexed="81"/>
            <rFont val="Tahoma"/>
            <family val="2"/>
          </rPr>
          <t xml:space="preserve">
Filtrar por letra la "Deprec.Acum." , del "Reporte General de Activos por Rango de Fecha", generado del 1ro de enero al 31 de Dic del año corriente) y colocar en la celda correspondiente la depreciación correspondiente al  activo comprado.</t>
        </r>
      </text>
    </comment>
    <comment ref="D170" authorId="1" shapeId="0" xr:uid="{00000000-0006-0000-0000-00001A000000}">
      <text>
        <r>
          <rPr>
            <b/>
            <sz val="9"/>
            <color indexed="81"/>
            <rFont val="Tahoma"/>
            <family val="2"/>
          </rPr>
          <t>Silvia Tortosa:</t>
        </r>
        <r>
          <rPr>
            <sz val="9"/>
            <color indexed="81"/>
            <rFont val="Tahoma"/>
            <family val="2"/>
          </rPr>
          <t xml:space="preserve">
Se reclasificó el monto de RD$6,490 a la cuenta 2631</t>
        </r>
      </text>
    </comment>
    <comment ref="L187" authorId="1" shapeId="0" xr:uid="{00000000-0006-0000-0000-00001B000000}">
      <text>
        <r>
          <rPr>
            <b/>
            <sz val="9"/>
            <color indexed="81"/>
            <rFont val="Tahoma"/>
            <family val="2"/>
          </rPr>
          <t>Silvia Tortosa:</t>
        </r>
        <r>
          <rPr>
            <sz val="9"/>
            <color indexed="81"/>
            <rFont val="Tahoma"/>
            <family val="2"/>
          </rPr>
          <t xml:space="preserve">
Pendiente de corrección en el SIAB</t>
        </r>
      </text>
    </comment>
    <comment ref="D203" authorId="1" shapeId="0" xr:uid="{00000000-0006-0000-0000-00001C000000}">
      <text>
        <r>
          <rPr>
            <b/>
            <sz val="9"/>
            <color indexed="81"/>
            <rFont val="Tahoma"/>
            <family val="2"/>
          </rPr>
          <t>Silvia Tortosa:</t>
        </r>
        <r>
          <rPr>
            <sz val="9"/>
            <color indexed="81"/>
            <rFont val="Tahoma"/>
            <family val="2"/>
          </rPr>
          <t xml:space="preserve">
Adquisición de nueva 
licencia </t>
        </r>
      </text>
    </comment>
    <comment ref="J234" authorId="0" shapeId="0" xr:uid="{00000000-0006-0000-0000-00001D000000}">
      <text>
        <r>
          <rPr>
            <b/>
            <sz val="9"/>
            <color indexed="81"/>
            <rFont val="Tahoma"/>
            <family val="2"/>
          </rPr>
          <t>Asesoría Dirección:</t>
        </r>
        <r>
          <rPr>
            <sz val="9"/>
            <color indexed="81"/>
            <rFont val="Tahoma"/>
            <family val="2"/>
          </rPr>
          <t xml:space="preserve">
Corresponde al gasto de anos anteriores</t>
        </r>
      </text>
    </comment>
    <comment ref="C289" authorId="0" shapeId="0" xr:uid="{00000000-0006-0000-0000-00001E000000}">
      <text>
        <r>
          <rPr>
            <b/>
            <sz val="9"/>
            <color indexed="81"/>
            <rFont val="Tahoma"/>
            <family val="2"/>
          </rPr>
          <t>Asesoría Dirección:</t>
        </r>
        <r>
          <rPr>
            <sz val="9"/>
            <color indexed="81"/>
            <rFont val="Tahoma"/>
            <family val="2"/>
          </rPr>
          <t xml:space="preserve">
Tomado diectamente de los gastos</t>
        </r>
      </text>
    </comment>
    <comment ref="C304" authorId="0" shapeId="0" xr:uid="{00000000-0006-0000-0000-00001F000000}">
      <text>
        <r>
          <rPr>
            <b/>
            <sz val="9"/>
            <color indexed="81"/>
            <rFont val="Tahoma"/>
            <family val="2"/>
          </rPr>
          <t>Asesoría Dirección:</t>
        </r>
        <r>
          <rPr>
            <sz val="9"/>
            <color indexed="81"/>
            <rFont val="Tahoma"/>
            <family val="2"/>
          </rPr>
          <t xml:space="preserve">
Urge reclasificar y segregar las cuentas por  por pagar</t>
        </r>
      </text>
    </comment>
    <comment ref="D305" authorId="0" shapeId="0" xr:uid="{00000000-0006-0000-0000-000020000000}">
      <text>
        <r>
          <rPr>
            <b/>
            <sz val="9"/>
            <color indexed="81"/>
            <rFont val="Tahoma"/>
            <family val="2"/>
          </rPr>
          <t>Asesoría Dirección:</t>
        </r>
        <r>
          <rPr>
            <sz val="9"/>
            <color indexed="81"/>
            <rFont val="Tahoma"/>
            <family val="2"/>
          </rPr>
          <t xml:space="preserve">
Debe estar relacionada al efectivo en banco (respaldo)</t>
        </r>
      </text>
    </comment>
    <comment ref="E305" authorId="0" shapeId="0" xr:uid="{00000000-0006-0000-0000-000021000000}">
      <text>
        <r>
          <rPr>
            <b/>
            <sz val="9"/>
            <color indexed="81"/>
            <rFont val="Tahoma"/>
            <family val="2"/>
          </rPr>
          <t>Asesoría Dirección:</t>
        </r>
        <r>
          <rPr>
            <sz val="9"/>
            <color indexed="81"/>
            <rFont val="Tahoma"/>
            <family val="2"/>
          </rPr>
          <t xml:space="preserve">
Debe estar relacionada al efectivo en banco (respaldo)</t>
        </r>
      </text>
    </comment>
    <comment ref="D312" authorId="0" shapeId="0" xr:uid="{00000000-0006-0000-0000-000022000000}">
      <text>
        <r>
          <rPr>
            <b/>
            <sz val="9"/>
            <color indexed="81"/>
            <rFont val="Tahoma"/>
            <family val="2"/>
          </rPr>
          <t>Asesoría Dirección:</t>
        </r>
        <r>
          <rPr>
            <sz val="9"/>
            <color indexed="81"/>
            <rFont val="Tahoma"/>
            <family val="2"/>
          </rPr>
          <t xml:space="preserve">
Angel y Julia</t>
        </r>
      </text>
    </comment>
    <comment ref="E312" authorId="0" shapeId="0" xr:uid="{00000000-0006-0000-0000-000023000000}">
      <text>
        <r>
          <rPr>
            <b/>
            <sz val="9"/>
            <color indexed="81"/>
            <rFont val="Tahoma"/>
            <family val="2"/>
          </rPr>
          <t>Asesoría Dirección:</t>
        </r>
        <r>
          <rPr>
            <sz val="9"/>
            <color indexed="81"/>
            <rFont val="Tahoma"/>
            <family val="2"/>
          </rPr>
          <t xml:space="preserve">
Angel, Anafranc y Julia?</t>
        </r>
      </text>
    </comment>
    <comment ref="E324" authorId="0" shapeId="0" xr:uid="{00000000-0006-0000-0000-000024000000}">
      <text>
        <r>
          <rPr>
            <b/>
            <sz val="9"/>
            <color indexed="81"/>
            <rFont val="Tahoma"/>
            <family val="2"/>
          </rPr>
          <t>Asesoría Dirección:</t>
        </r>
        <r>
          <rPr>
            <sz val="9"/>
            <color indexed="81"/>
            <rFont val="Tahoma"/>
            <family val="2"/>
          </rPr>
          <t xml:space="preserve">
De la hoja "Balance de Comprobación", filtrar y pegar (como 1-2-3) el 40
 de la columna de A ("Mapeo").</t>
        </r>
      </text>
    </comment>
    <comment ref="C444" authorId="0" shapeId="0" xr:uid="{00000000-0006-0000-0000-000025000000}">
      <text>
        <r>
          <rPr>
            <b/>
            <sz val="9"/>
            <color indexed="81"/>
            <rFont val="Tahoma"/>
            <family val="2"/>
          </rPr>
          <t>Asesoría Dirección:</t>
        </r>
        <r>
          <rPr>
            <sz val="9"/>
            <color indexed="81"/>
            <rFont val="Tahoma"/>
            <family val="2"/>
          </rPr>
          <t xml:space="preserve">
Ver detalle en el 18.1 (abajo) de las compras reportadas en los objetales 26 y 27 de los gastos del período</t>
        </r>
      </text>
    </comment>
    <comment ref="C455" authorId="0" shapeId="0" xr:uid="{00000000-0006-0000-0000-000026000000}">
      <text>
        <r>
          <rPr>
            <b/>
            <sz val="9"/>
            <color indexed="81"/>
            <rFont val="Tahoma"/>
            <family val="2"/>
          </rPr>
          <t>Asesoría Dirección:</t>
        </r>
        <r>
          <rPr>
            <sz val="9"/>
            <color indexed="81"/>
            <rFont val="Tahoma"/>
            <family val="2"/>
          </rPr>
          <t xml:space="preserve">
Tomar los valores de las compras reportadas en los objetales 26 y 27 de los gastos del período</t>
        </r>
      </text>
    </comment>
    <comment ref="D455" authorId="0" shapeId="0" xr:uid="{00000000-0006-0000-0000-000027000000}">
      <text>
        <r>
          <rPr>
            <b/>
            <sz val="9"/>
            <color indexed="81"/>
            <rFont val="Tahoma"/>
            <family val="2"/>
          </rPr>
          <t>Asesoría Dirección:</t>
        </r>
        <r>
          <rPr>
            <sz val="9"/>
            <color indexed="81"/>
            <rFont val="Tahoma"/>
            <family val="2"/>
          </rPr>
          <t xml:space="preserve">
De los gastos del período, filtrar y pegar (como 1-2-3), los valores de las compras reportadas en los objetales 26 y 27</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Asesoría Dirección</author>
  </authors>
  <commentList>
    <comment ref="D11" authorId="0" shapeId="0" xr:uid="{00000000-0006-0000-0100-000001000000}">
      <text>
        <r>
          <rPr>
            <b/>
            <sz val="9"/>
            <color indexed="81"/>
            <rFont val="Tahoma"/>
            <family val="2"/>
          </rPr>
          <t>Asesoría Dirección:</t>
        </r>
        <r>
          <rPr>
            <sz val="9"/>
            <color indexed="81"/>
            <rFont val="Tahoma"/>
            <family val="2"/>
          </rPr>
          <t xml:space="preserve">
Desde el "Balance de Comprobación" del período actual, copiar desde la celda F24 hasta la celda F152 y pegar en esta columna en la celda F24. Los demás datos se digitan en la hoja de "Datos".</t>
        </r>
      </text>
    </comment>
    <comment ref="F11" authorId="0" shapeId="0" xr:uid="{00000000-0006-0000-0100-000002000000}">
      <text>
        <r>
          <rPr>
            <b/>
            <sz val="9"/>
            <color indexed="81"/>
            <rFont val="Tahoma"/>
            <family val="2"/>
          </rPr>
          <t>Asesoría Dirección:</t>
        </r>
        <r>
          <rPr>
            <sz val="9"/>
            <color indexed="81"/>
            <rFont val="Tahoma"/>
            <family val="2"/>
          </rPr>
          <t xml:space="preserve">
Desde el Balance de Comprobación del año anterior, copiar desde la celda F13 hasta la celda F155 y pegar en esta columna en la celda F13.</t>
        </r>
      </text>
    </comment>
    <comment ref="C32" authorId="0" shapeId="0" xr:uid="{00000000-0006-0000-0100-000003000000}">
      <text>
        <r>
          <rPr>
            <b/>
            <sz val="9"/>
            <color indexed="81"/>
            <rFont val="Tahoma"/>
            <family val="2"/>
          </rPr>
          <t>Asesoría Dirección:</t>
        </r>
        <r>
          <rPr>
            <sz val="9"/>
            <color indexed="81"/>
            <rFont val="Tahoma"/>
            <family val="2"/>
          </rPr>
          <t xml:space="preserve">
Desde el Balance de Comprobación mecanizado, seleccione desde este punto hasta la línea 157, copie y pegue (como 1-2-3). 
Luego pegue aquí (como 1-2-3).</t>
        </r>
      </text>
    </comment>
    <comment ref="D36" authorId="0" shapeId="0" xr:uid="{00000000-0006-0000-0100-000004000000}">
      <text>
        <r>
          <rPr>
            <b/>
            <sz val="9"/>
            <color indexed="81"/>
            <rFont val="Tahoma"/>
            <family val="2"/>
          </rPr>
          <t>Asesoría Dirección:</t>
        </r>
        <r>
          <rPr>
            <sz val="9"/>
            <color indexed="81"/>
            <rFont val="Tahoma"/>
            <family val="2"/>
          </rPr>
          <t xml:space="preserve">
Comprobar valores en la hoja de "Datos" con los mismos colores mostrados en cada celda (abajo).</t>
        </r>
      </text>
    </comment>
  </commentList>
</comments>
</file>

<file path=xl/sharedStrings.xml><?xml version="1.0" encoding="utf-8"?>
<sst xmlns="http://schemas.openxmlformats.org/spreadsheetml/2006/main" count="1065" uniqueCount="594">
  <si>
    <t>(Valores en RD$)</t>
  </si>
  <si>
    <t xml:space="preserve"> </t>
  </si>
  <si>
    <t>Capital</t>
  </si>
  <si>
    <t>Estado de Rendimiento Financiero</t>
  </si>
  <si>
    <t>Deterioro del valor de propiedad, planta y equipo</t>
  </si>
  <si>
    <t>Otros gastos</t>
  </si>
  <si>
    <t>Gastos financieros</t>
  </si>
  <si>
    <t>Revaluación</t>
  </si>
  <si>
    <t>Cambio en políticas contables</t>
  </si>
  <si>
    <t xml:space="preserve">Ajuste al patrimonio </t>
  </si>
  <si>
    <t>Resultado del período</t>
  </si>
  <si>
    <t>Estado de Cambio de Activo / Patrimonio</t>
  </si>
  <si>
    <t>Capital Aportado</t>
  </si>
  <si>
    <t>Cambios en Políticas Contables</t>
  </si>
  <si>
    <t>Resultados Acumulados</t>
  </si>
  <si>
    <t>Total Activos Netos / Patrimonio</t>
  </si>
  <si>
    <t>Revaluación de Propiedad, planta y equipo</t>
  </si>
  <si>
    <t>Efecto del gasto de depreciación de los activos revaluados</t>
  </si>
  <si>
    <t>Adquisición de Activos Financieros con fines de Políticas</t>
  </si>
  <si>
    <t>Diferencia para control debe ser cero</t>
  </si>
  <si>
    <t>Consejo Nacional de Investigaciones Agropecuarias y Forestales -CONIAF-</t>
  </si>
  <si>
    <t>bc2019</t>
  </si>
  <si>
    <t>Balanza de comprobación</t>
  </si>
  <si>
    <t>Mapeo</t>
  </si>
  <si>
    <t>Nombre de la cuenta</t>
  </si>
  <si>
    <t>**</t>
  </si>
  <si>
    <t>ACTIVOS</t>
  </si>
  <si>
    <t>0001</t>
  </si>
  <si>
    <t>Caja chica</t>
  </si>
  <si>
    <t>Banco y Cuenta del Tesoro</t>
  </si>
  <si>
    <t>0004</t>
  </si>
  <si>
    <t>Cuentas por cobrar funcionarios y empleados</t>
  </si>
  <si>
    <t>0005</t>
  </si>
  <si>
    <t>Material gastable</t>
  </si>
  <si>
    <t>0006</t>
  </si>
  <si>
    <t>Pagos anticipados</t>
  </si>
  <si>
    <t>0012</t>
  </si>
  <si>
    <t>Mobiliarios y equipos de oficina</t>
  </si>
  <si>
    <t>Depreciación acumulada</t>
  </si>
  <si>
    <t>0013</t>
  </si>
  <si>
    <t>Intangibles</t>
  </si>
  <si>
    <t>Amortización</t>
  </si>
  <si>
    <t>PASIVOS</t>
  </si>
  <si>
    <t>0016</t>
  </si>
  <si>
    <t>Cuentas por pagar</t>
  </si>
  <si>
    <t>0019</t>
  </si>
  <si>
    <t>Retenciones y acumulaciones por pagar</t>
  </si>
  <si>
    <t>ACTIVOS NETO/PATRIMONIO</t>
  </si>
  <si>
    <t>0033</t>
  </si>
  <si>
    <t>Resultado acumulado</t>
  </si>
  <si>
    <t>0032</t>
  </si>
  <si>
    <t>Ajustes</t>
  </si>
  <si>
    <t>INGRESOS</t>
  </si>
  <si>
    <t>0037</t>
  </si>
  <si>
    <t>Ingresos</t>
  </si>
  <si>
    <t>GASTOS</t>
  </si>
  <si>
    <t>SERVICIOS PERSONALES</t>
  </si>
  <si>
    <t>REMUNERACIONES</t>
  </si>
  <si>
    <t>0039</t>
  </si>
  <si>
    <t>0010</t>
  </si>
  <si>
    <t>Sueldos fijos</t>
  </si>
  <si>
    <t>0011</t>
  </si>
  <si>
    <t>Sueldos al personal contratado y/o igualado</t>
  </si>
  <si>
    <t>Sueldo al personal nominal en periodo probatorio</t>
  </si>
  <si>
    <t>Sueldo anual no. 13</t>
  </si>
  <si>
    <t>2.1.1.5.01</t>
  </si>
  <si>
    <t>Prestaciones económicas</t>
  </si>
  <si>
    <t>0014</t>
  </si>
  <si>
    <t>Proporción de vacaciones no disfrutadas</t>
  </si>
  <si>
    <t>SOBRESUELDOS</t>
  </si>
  <si>
    <t>0015</t>
  </si>
  <si>
    <t>Compensación por horas extraordinarias</t>
  </si>
  <si>
    <t>Compensación por servicio de seguridad</t>
  </si>
  <si>
    <t>0017</t>
  </si>
  <si>
    <t>Bono por desempeño</t>
  </si>
  <si>
    <t>GRATIFICACIONES Y BONIFICACIONES</t>
  </si>
  <si>
    <t>0018</t>
  </si>
  <si>
    <t>Gratificaciones por aniversario de institución</t>
  </si>
  <si>
    <t>CONTRIBUCIONES A LA SEGURIDAD SOCIAL Y RIESGO LABORAL</t>
  </si>
  <si>
    <t>Contribuciones al seguro de salud</t>
  </si>
  <si>
    <t xml:space="preserve">Contribuciones al seguro de pensiones </t>
  </si>
  <si>
    <t>Contribuciones al seguro de riesgo laboral</t>
  </si>
  <si>
    <t>SERVICIOS NO PERSONALES</t>
  </si>
  <si>
    <t>SERVICIOS BÁSICOS</t>
  </si>
  <si>
    <t>0044</t>
  </si>
  <si>
    <t>Servicios telefónico de larga distancia</t>
  </si>
  <si>
    <t>Teléfono local</t>
  </si>
  <si>
    <t>Telefax y correo</t>
  </si>
  <si>
    <t>Servicio de internet y televisión por cable</t>
  </si>
  <si>
    <t>PUBLICIDAD, IMPRESIÓN Y ENCUADERNACIÓN</t>
  </si>
  <si>
    <t>Publicidad y propaganda</t>
  </si>
  <si>
    <t>Impresión y encuadernación</t>
  </si>
  <si>
    <t>VIÁTICOS</t>
  </si>
  <si>
    <t>Viáticos dentro del país</t>
  </si>
  <si>
    <t>Viáticos fuera del país</t>
  </si>
  <si>
    <t>TRANSPORTE Y ALMACENAJES</t>
  </si>
  <si>
    <t>Pasajes</t>
  </si>
  <si>
    <t>Peajes</t>
  </si>
  <si>
    <t>ALQUILERES Y RENTA</t>
  </si>
  <si>
    <t>Edificios y locales</t>
  </si>
  <si>
    <t>2.2.5.4.01</t>
  </si>
  <si>
    <t>Alquiler de vehículo</t>
  </si>
  <si>
    <t>Otros alquileres</t>
  </si>
  <si>
    <t>SEGUROS</t>
  </si>
  <si>
    <t>Seguro de bienes muebles</t>
  </si>
  <si>
    <t>2.2.6.3.01</t>
  </si>
  <si>
    <t>Seguro de personas</t>
  </si>
  <si>
    <t>CONSERV., REPS. MENORES E INSTALACIONES TEMP.</t>
  </si>
  <si>
    <t>Servicios especiales de mantenimiento y reparación</t>
  </si>
  <si>
    <t>2.2.7.1.07</t>
  </si>
  <si>
    <t>Servicios de pintura y derivados con fin de higiene y embellecimiento</t>
  </si>
  <si>
    <t>Reparaciones de obras menores</t>
  </si>
  <si>
    <t>Mant. y rep. De equipo de oficina y muebles</t>
  </si>
  <si>
    <t>2.2.7.2.05</t>
  </si>
  <si>
    <t>Mant. y rep. De equipo de comunicación</t>
  </si>
  <si>
    <t>Mant. y rep. De equipo de transporte, tracción y elevación</t>
  </si>
  <si>
    <t xml:space="preserve">OTROS SERVICIOS NO PERSONALES </t>
  </si>
  <si>
    <t>Comisiones y gastos bancarios</t>
  </si>
  <si>
    <t>2.2.8.3.01</t>
  </si>
  <si>
    <t xml:space="preserve">Servicios sanitarios médicos y veterinarios </t>
  </si>
  <si>
    <t>Fumigación</t>
  </si>
  <si>
    <t>Activos prepagados</t>
  </si>
  <si>
    <t>Lavandería</t>
  </si>
  <si>
    <t>Limpieza e higiene</t>
  </si>
  <si>
    <t>Eventos generales</t>
  </si>
  <si>
    <t>Festividades</t>
  </si>
  <si>
    <t>Servicios jurídicos</t>
  </si>
  <si>
    <t>2.2.8.7.04</t>
  </si>
  <si>
    <t>Servicios de capacitación</t>
  </si>
  <si>
    <t>Otros servicios técnicos profesionales</t>
  </si>
  <si>
    <t>MATERIALES Y SUMINISTROS</t>
  </si>
  <si>
    <t>ALIMENTOS Y PRODUCTOS AGROFORESTALES</t>
  </si>
  <si>
    <t>2.3.1.1.01</t>
  </si>
  <si>
    <t>Alimentos y bebidas para personas</t>
  </si>
  <si>
    <t>0041</t>
  </si>
  <si>
    <t>2.3.1.3.03</t>
  </si>
  <si>
    <t>Productos forestales</t>
  </si>
  <si>
    <t>TEXTILES Y VESTUARIOS</t>
  </si>
  <si>
    <t>2.3.2.1.01</t>
  </si>
  <si>
    <t>Hilados y telas</t>
  </si>
  <si>
    <t>2.3.2.2.01</t>
  </si>
  <si>
    <t>Acabados textiles</t>
  </si>
  <si>
    <t>2.3.2.3.01</t>
  </si>
  <si>
    <t>Prendas de vestir</t>
  </si>
  <si>
    <t>PRODUCTOS DE PAPEL, CARTÓN E IMPRESO</t>
  </si>
  <si>
    <t>2.3.3.1.01</t>
  </si>
  <si>
    <t>Papel de escritorio</t>
  </si>
  <si>
    <t>2.3.3.2.01</t>
  </si>
  <si>
    <t>Productos de papel y cartón</t>
  </si>
  <si>
    <t>2.3.3.3.01</t>
  </si>
  <si>
    <t>Productos de artes gráficas</t>
  </si>
  <si>
    <t>2.3.4.1.01</t>
  </si>
  <si>
    <t>Productos medicinales para uso humano</t>
  </si>
  <si>
    <t>PRODUCTOS DE CUERO, CAUCHO Y PLÁSTICOS</t>
  </si>
  <si>
    <t>2.3.5.2.01</t>
  </si>
  <si>
    <t>Artículos de cuero</t>
  </si>
  <si>
    <t>Libros, revistas y periódicos</t>
  </si>
  <si>
    <t>2.3.5.3.01</t>
  </si>
  <si>
    <t>Llantas y neumáticos</t>
  </si>
  <si>
    <t>2.3.5.4.01</t>
  </si>
  <si>
    <t>Artículos de caucho</t>
  </si>
  <si>
    <t>2.3.5.5.01</t>
  </si>
  <si>
    <t>Artículos de plástico</t>
  </si>
  <si>
    <t>PRODUCTOS DE MINERALES, METÁLICOS Y NO METÁLICOS</t>
  </si>
  <si>
    <t>2.3.6.1.01</t>
  </si>
  <si>
    <t>Productos de cemento</t>
  </si>
  <si>
    <t>2.3.6.1.04</t>
  </si>
  <si>
    <t>Productos de yeso</t>
  </si>
  <si>
    <t>2.3.6.2.01</t>
  </si>
  <si>
    <t>Productos de vidrio</t>
  </si>
  <si>
    <t>2.3.6.3.01</t>
  </si>
  <si>
    <t>Productos ferrosos</t>
  </si>
  <si>
    <t>2.3.6.3.02</t>
  </si>
  <si>
    <t>Productos no ferrosos</t>
  </si>
  <si>
    <t>Herramientas menores</t>
  </si>
  <si>
    <t>Productos de hojalata</t>
  </si>
  <si>
    <t>2.3.6.3.06</t>
  </si>
  <si>
    <t>Accesorios de metal</t>
  </si>
  <si>
    <t>Piedra, arcilla y arena</t>
  </si>
  <si>
    <t>COMBUSTIBLES, LUBRICANTES, PRODUCTOS QUÍMICOS Y CONEXOS</t>
  </si>
  <si>
    <t>2.3.7.1.01</t>
  </si>
  <si>
    <t>Gasolina</t>
  </si>
  <si>
    <t>2.3.7.1.02</t>
  </si>
  <si>
    <t>Gasoil</t>
  </si>
  <si>
    <t>Aceites y grasas</t>
  </si>
  <si>
    <t>2.3.7.2.03</t>
  </si>
  <si>
    <t>Productos químicos de laboratorio y de uso personal</t>
  </si>
  <si>
    <t>2.3.7.2.05</t>
  </si>
  <si>
    <t>Insecticidas, fumigantes y otros</t>
  </si>
  <si>
    <t>2.3.7.2.06</t>
  </si>
  <si>
    <t>Pinturas, lacas, barnices, diluyentes y absorbentes para pinturas</t>
  </si>
  <si>
    <t>PRODUCTOS Y ÚTILES VARIOS</t>
  </si>
  <si>
    <t>2.3.9.1.01</t>
  </si>
  <si>
    <t>Material para limpieza</t>
  </si>
  <si>
    <t>2.3.9.2.01</t>
  </si>
  <si>
    <t>Útiles de escritorio, oficina e informática </t>
  </si>
  <si>
    <t>2.3.9.3.01</t>
  </si>
  <si>
    <t>Útiles menores médico quirurgicos</t>
  </si>
  <si>
    <t>Útiles destinados a actividades deportivas y recreativas</t>
  </si>
  <si>
    <t xml:space="preserve">2.3.9.4.01 </t>
  </si>
  <si>
    <t>2.3.9.6.01</t>
  </si>
  <si>
    <t>Productos eléctricos y afines</t>
  </si>
  <si>
    <t>2.3.9.7.01</t>
  </si>
  <si>
    <t xml:space="preserve">Productos y utiles veterinarios </t>
  </si>
  <si>
    <t>2.3.9.8.01</t>
  </si>
  <si>
    <t>2.3.9.9.01</t>
  </si>
  <si>
    <t>Productos y útiles varios</t>
  </si>
  <si>
    <t>2.3.9.9.02</t>
  </si>
  <si>
    <t>Bonos para útiles diversos</t>
  </si>
  <si>
    <t>2.3.6.4.07</t>
  </si>
  <si>
    <t>Minerales</t>
  </si>
  <si>
    <t xml:space="preserve">2.3.9.5.01 </t>
  </si>
  <si>
    <t>Útiles de cocina y comedor</t>
  </si>
  <si>
    <t>Otros</t>
  </si>
  <si>
    <t>TRANSFERENCIAS CORRIENTES</t>
  </si>
  <si>
    <t>0040</t>
  </si>
  <si>
    <t>2.4.1.2.02</t>
  </si>
  <si>
    <t>Ayudas y donaciones ocacionales a hogares y personas</t>
  </si>
  <si>
    <t>2.4.1.4.01</t>
  </si>
  <si>
    <t>Becas nacionales</t>
  </si>
  <si>
    <t>2.4.1.4.02</t>
  </si>
  <si>
    <t>Becas extranjeras</t>
  </si>
  <si>
    <t>2.4.1.6.01</t>
  </si>
  <si>
    <t>Transferencias corrientes a asociaciones sin fines de lucro</t>
  </si>
  <si>
    <t>0042</t>
  </si>
  <si>
    <t>Gasto de depreciación</t>
  </si>
  <si>
    <t>Gasto de amortización</t>
  </si>
  <si>
    <t>Pérdida por retiro</t>
  </si>
  <si>
    <t>(Ganancia) pérdida</t>
  </si>
  <si>
    <t>Balance de comprobación</t>
  </si>
  <si>
    <t>Año actual</t>
  </si>
  <si>
    <t>Año anterior</t>
  </si>
  <si>
    <t>Situación Financiera</t>
  </si>
  <si>
    <t>*</t>
  </si>
  <si>
    <t>Cambio Patrimonio</t>
  </si>
  <si>
    <t>Flujo de Efectivo</t>
  </si>
  <si>
    <t>Balance Comprobación,T2</t>
  </si>
  <si>
    <t>Balance Comprobación,U2</t>
  </si>
  <si>
    <t>Balance Comprobación,V2</t>
  </si>
  <si>
    <t>Balance Comprobación,W2</t>
  </si>
  <si>
    <t>Balance Comprobación,X2</t>
  </si>
  <si>
    <t>Balance Comprobación,Y2</t>
  </si>
  <si>
    <t>Balance Comprobación,P19</t>
  </si>
  <si>
    <t>Balance Comprobación,P20</t>
  </si>
  <si>
    <t>Balance Comprobación,P21</t>
  </si>
  <si>
    <t>Balance Comprobación,P18</t>
  </si>
  <si>
    <t>Estado Comparativo</t>
  </si>
  <si>
    <t>Banco de Reservas (cta No. 240006802-4)</t>
  </si>
  <si>
    <t>Cuenta del Tesoro</t>
  </si>
  <si>
    <t>Equipos de Transporte y Otros</t>
  </si>
  <si>
    <t>Total</t>
  </si>
  <si>
    <t>Adiciones</t>
  </si>
  <si>
    <t>Retiros</t>
  </si>
  <si>
    <t>15.  Subvenciones y otros pagos por transferencias</t>
  </si>
  <si>
    <t>Ajuste</t>
  </si>
  <si>
    <t>18. 	     Otros gastos</t>
  </si>
  <si>
    <t xml:space="preserve">18.1 Otros </t>
  </si>
  <si>
    <t>Muebles  de oficina y estantería</t>
  </si>
  <si>
    <t>Equipo de Computo</t>
  </si>
  <si>
    <t>Otros mobiliarios y equipos no identificados</t>
  </si>
  <si>
    <t>Ovinos y Caprinos</t>
  </si>
  <si>
    <t>Total Mobiliarios y Equipos de Oficinas</t>
  </si>
  <si>
    <t>Total de adiciones</t>
  </si>
  <si>
    <t xml:space="preserve">Adición del año anterior </t>
  </si>
  <si>
    <t>Noviembre año anterior</t>
  </si>
  <si>
    <t>Balance al inicio del período</t>
  </si>
  <si>
    <t xml:space="preserve">Amortización del año </t>
  </si>
  <si>
    <t xml:space="preserve">Enero </t>
  </si>
  <si>
    <t xml:space="preserve">Febrero </t>
  </si>
  <si>
    <t>Marzo</t>
  </si>
  <si>
    <t>Abril</t>
  </si>
  <si>
    <t>Mayo</t>
  </si>
  <si>
    <t>Junio</t>
  </si>
  <si>
    <t>Julio</t>
  </si>
  <si>
    <t xml:space="preserve">Agosto </t>
  </si>
  <si>
    <t>Sept</t>
  </si>
  <si>
    <t>Oct</t>
  </si>
  <si>
    <t>Adición</t>
  </si>
  <si>
    <t>Total Pasivos</t>
  </si>
  <si>
    <t>Intereses</t>
  </si>
  <si>
    <t>Período</t>
  </si>
  <si>
    <t>26.-Bienes en uso</t>
  </si>
  <si>
    <t>Total Gasto de  Depreciación</t>
  </si>
  <si>
    <t>Gastos tomados del Bce de Comprobación</t>
  </si>
  <si>
    <t xml:space="preserve">Totales </t>
  </si>
  <si>
    <t>Total de ingresos</t>
  </si>
  <si>
    <t>Notas a los estados financieros</t>
  </si>
  <si>
    <t>Inversiones</t>
  </si>
  <si>
    <t>Reporte</t>
  </si>
  <si>
    <t>Gasto de Depreciación</t>
  </si>
  <si>
    <t>Activos AA</t>
  </si>
  <si>
    <t>A</t>
  </si>
  <si>
    <t>B</t>
  </si>
  <si>
    <t>C</t>
  </si>
  <si>
    <t>Activo al corte</t>
  </si>
  <si>
    <t>C+B+A</t>
  </si>
  <si>
    <t>Activos en uso</t>
  </si>
  <si>
    <t>Valor Adq.</t>
  </si>
  <si>
    <t>RD$</t>
  </si>
  <si>
    <t>Valor Libros</t>
  </si>
  <si>
    <t>Reporte General de Activos de Edificios</t>
  </si>
  <si>
    <t>1 APARTAMENTO</t>
  </si>
  <si>
    <t>Equipo de Cómputos (B)</t>
  </si>
  <si>
    <t>Mobiliarios y Equipos de Oficina (A)</t>
  </si>
  <si>
    <t>Otros (C)</t>
  </si>
  <si>
    <t xml:space="preserve">Equipos de Transporte (D) </t>
  </si>
  <si>
    <t>Edificios (E)</t>
  </si>
  <si>
    <t>Equipos Varios (F)</t>
  </si>
  <si>
    <t>F</t>
  </si>
  <si>
    <t>D</t>
  </si>
  <si>
    <t>E</t>
  </si>
  <si>
    <t>Retiros/Descargos del período</t>
  </si>
  <si>
    <t>(1)</t>
  </si>
  <si>
    <t>(2)</t>
  </si>
  <si>
    <t>(3)</t>
  </si>
  <si>
    <t>(4)</t>
  </si>
  <si>
    <t>(5)</t>
  </si>
  <si>
    <t>(6)</t>
  </si>
  <si>
    <t>(7)</t>
  </si>
  <si>
    <t>Adiciones/Compras del período</t>
  </si>
  <si>
    <t>Al Corte</t>
  </si>
  <si>
    <t>Depreciación Acumulada</t>
  </si>
  <si>
    <t>Depreciación Acumulada-Resumen</t>
  </si>
  <si>
    <t>Adiciones/Gasto</t>
  </si>
  <si>
    <t>Café/Cacao</t>
  </si>
  <si>
    <t>Fondo Interno</t>
  </si>
  <si>
    <t>Certificados</t>
  </si>
  <si>
    <t>Equipo médico y de laboratorio</t>
  </si>
  <si>
    <t>Sistemas de aire acondicionados, calefacción y refrigeración industrial y comercial</t>
  </si>
  <si>
    <t>Otros equipos</t>
  </si>
  <si>
    <t>Licencias Informáticas</t>
  </si>
  <si>
    <t>Datos /Información para los Estados Financieros del período</t>
  </si>
  <si>
    <t>Alimentos y Bebidas</t>
  </si>
  <si>
    <t>Productos de Papel</t>
  </si>
  <si>
    <t>Productos quimicos de uso personal</t>
  </si>
  <si>
    <t>Materiales de Limpieza</t>
  </si>
  <si>
    <t xml:space="preserve">Utiles de Escritorio </t>
  </si>
  <si>
    <t>Productos y Utiles Varios</t>
  </si>
  <si>
    <t>Productos y utiles de defensa y seguridad</t>
  </si>
  <si>
    <t>Articulos de Plasticos</t>
  </si>
  <si>
    <t>Diciembre año anterior</t>
  </si>
  <si>
    <t>Balance Comprobación,N2</t>
  </si>
  <si>
    <t>Papel de Escritorio</t>
  </si>
  <si>
    <t>REPORTE GENERAL RESUMIDO POR OBJETALES</t>
  </si>
  <si>
    <t>Nov</t>
  </si>
  <si>
    <t>Dic</t>
  </si>
  <si>
    <t>Depreciación</t>
  </si>
  <si>
    <t>Electrodomestico</t>
  </si>
  <si>
    <t>Automoviles y Camiones</t>
  </si>
  <si>
    <t>Maquina, eq. industrial</t>
  </si>
  <si>
    <t>Equipo de Generacion Electrica,aparato y acc</t>
  </si>
  <si>
    <t>Herraqmientas y maquinas-herramientas</t>
  </si>
  <si>
    <t>Nota #7 Efectivo y equivalentes de efectivo.</t>
  </si>
  <si>
    <t>Nota# 27 Beneficios a empleados a corto plazo</t>
  </si>
  <si>
    <t>Nota# 36  Activos Netos/Patrimonio</t>
  </si>
  <si>
    <t>Pendiente!!</t>
  </si>
  <si>
    <t>ACTIVOS:</t>
  </si>
  <si>
    <t xml:space="preserve">5 % Servicios  de  empre   </t>
  </si>
  <si>
    <t xml:space="preserve">Resultados positivos (ahorro)/negativo (desahorro) </t>
  </si>
  <si>
    <t>Patrimonio Neto</t>
  </si>
  <si>
    <t>Nota# 47 Gastos Financieros (Detalle)</t>
  </si>
  <si>
    <t>Cuenta:</t>
  </si>
  <si>
    <t>_____________________________</t>
  </si>
  <si>
    <t xml:space="preserve">  Lic. Cruz Dilia Agramonte Pérez</t>
  </si>
  <si>
    <t xml:space="preserve">              Enc. Contabilidad</t>
  </si>
  <si>
    <t>Las notas en las páginas 7 a 48 son parte integral de estos Estados Financieros.</t>
  </si>
  <si>
    <t xml:space="preserve">Becas Nacionales </t>
  </si>
  <si>
    <t>Comisiones y Gastos Bancarios</t>
  </si>
  <si>
    <t>Gastos de representación</t>
  </si>
  <si>
    <t>Beneficio Acuerdo de Desempeño Inst.</t>
  </si>
  <si>
    <t>Compensacion por resultados</t>
  </si>
  <si>
    <t>Sueldos  al personal fjo en tramite de pensiones</t>
  </si>
  <si>
    <t xml:space="preserve">                                                                                                                                                              El  Coniaf  tiene  su  domicilio  en  la  calle  Félix  María  del  Monte  #8,  Gazcue,  Santo Domingo, R.D.                                                                                                                                                                       
                                                                                                                                                            Sus principales funcionarios se citan de la manera siguiente:</t>
  </si>
  <si>
    <t>Para obtener los datos del inventario en el sistema SIAB, generar los sigues reportes: Desde el 1/1/2000 al 31/1 del período requerido: 1.-Reporte General de Activos de Edificios y 2.-Reporte General de Activos. Desde el 1/1 al 31/1 del período requerido.</t>
  </si>
  <si>
    <t>Mueble de Alojamiento</t>
  </si>
  <si>
    <t>Equipos de seguridad</t>
  </si>
  <si>
    <t>Obras para edificaciones no residenciales</t>
  </si>
  <si>
    <t xml:space="preserve">      Dra. Ana María Barceló</t>
  </si>
  <si>
    <t xml:space="preserve">         Directora Ejecutiva   </t>
  </si>
  <si>
    <t>Objetales Por Clasificar</t>
  </si>
  <si>
    <t>Muebles de oficina y estantería</t>
  </si>
  <si>
    <t>Muebles de alojamiento</t>
  </si>
  <si>
    <t>Equipos de cómputo</t>
  </si>
  <si>
    <t>Electrodomésticos</t>
  </si>
  <si>
    <t>Otros mobiliarios y equipos no identificados precedentemente</t>
  </si>
  <si>
    <t>Equipos y aparatos audiovisuales</t>
  </si>
  <si>
    <t>Cámaras fotográficas y de video</t>
  </si>
  <si>
    <t>Automóviles y camiones</t>
  </si>
  <si>
    <t>Maquinaria y equipo industrial</t>
  </si>
  <si>
    <t>Sistemas de aire acondicionado, calefacción y refrigeración industrial</t>
  </si>
  <si>
    <t>Equipo de comunicación, telecomunicaciones y señalamiento</t>
  </si>
  <si>
    <t>Equipo de generación eléctrica, aparatos y accesorios eléctricos</t>
  </si>
  <si>
    <t>Herramientas y máquinas-herramientas</t>
  </si>
  <si>
    <t>Equipos de defensa</t>
  </si>
  <si>
    <t>Antigüedades, bienes artísticos y otros objetos de arte</t>
  </si>
  <si>
    <t xml:space="preserve"> Año Anterior</t>
  </si>
  <si>
    <t>Banco de Reservas (cta No. 314-0002230)</t>
  </si>
  <si>
    <t>Cuenta Fondo Reponible (cta No. 013-004978-6)</t>
  </si>
  <si>
    <t>Licencia Informática</t>
  </si>
  <si>
    <t>2261/2262</t>
  </si>
  <si>
    <t>Seguros de muebles e inmuebles</t>
  </si>
  <si>
    <t>Total de Activos</t>
  </si>
  <si>
    <t>Total General Activos en uso</t>
  </si>
  <si>
    <t>Valor Adquisición/  Compras RD$</t>
  </si>
  <si>
    <t>Entrada:</t>
  </si>
  <si>
    <t>C x P</t>
  </si>
  <si>
    <t>Resultado  acumul</t>
  </si>
  <si>
    <t xml:space="preserve"> +Ingreso</t>
  </si>
  <si>
    <t xml:space="preserve"> -Ejecución</t>
  </si>
  <si>
    <t>Sub Total</t>
  </si>
  <si>
    <t>I64, Flujo de efectivo:</t>
  </si>
  <si>
    <t>Materiales y suministros</t>
  </si>
  <si>
    <t>Alimentos y productos agroforestales</t>
  </si>
  <si>
    <t>Productos de papel, cartón e impreso</t>
  </si>
  <si>
    <t>Productos de cuero, caucho y plásticos</t>
  </si>
  <si>
    <t>Combustibles, lubricantes, productos químicos y conexos</t>
  </si>
  <si>
    <t>Utiles Menores Medico quirúrgico</t>
  </si>
  <si>
    <t>Productos Electricos y afines</t>
  </si>
  <si>
    <t>Remuneraciones</t>
  </si>
  <si>
    <t>Sobresueldos</t>
  </si>
  <si>
    <t>Gratificaciones y bonificaciones</t>
  </si>
  <si>
    <t>Contribuciones a la seguridad social y riesgo laboral</t>
  </si>
  <si>
    <t>Textiles y vestuarios</t>
  </si>
  <si>
    <t>Transferencias corrientes</t>
  </si>
  <si>
    <t>Servicios no personales</t>
  </si>
  <si>
    <t>Servicios básicos</t>
  </si>
  <si>
    <t>Productos de minerales, metálicos y no metálicos</t>
  </si>
  <si>
    <t>Publicidad, impresión y encuadernación</t>
  </si>
  <si>
    <t>Viáticos</t>
  </si>
  <si>
    <t>Transporte y almacenajes</t>
  </si>
  <si>
    <t>Alquileres y renta</t>
  </si>
  <si>
    <t>Seguros</t>
  </si>
  <si>
    <t>Conserv., reps. menores e instalaciones temp.</t>
  </si>
  <si>
    <t xml:space="preserve">Otros servicios no personales </t>
  </si>
  <si>
    <t xml:space="preserve">Total de Gastos </t>
  </si>
  <si>
    <t>Otros ingresos</t>
  </si>
  <si>
    <t>Lic. Mayra Martínez</t>
  </si>
  <si>
    <t>Enc.Depto. Administrativo y Financiero</t>
  </si>
  <si>
    <t xml:space="preserve">Antes de imprimir </t>
  </si>
  <si>
    <t>Cambio al Patrimonio</t>
  </si>
  <si>
    <t>patrimonio</t>
  </si>
  <si>
    <t>Balance de Comprobación</t>
  </si>
  <si>
    <t>Rendimiento Financiero</t>
  </si>
  <si>
    <t>Antes de enviar archivo sin fórmulas</t>
  </si>
  <si>
    <t>Cada estado se debe:</t>
  </si>
  <si>
    <t>Desplegar el filtro</t>
  </si>
  <si>
    <t>balance</t>
  </si>
  <si>
    <t>financiero</t>
  </si>
  <si>
    <t>situacion</t>
  </si>
  <si>
    <t>Antes de trabajar en esta hoja</t>
  </si>
  <si>
    <t>IMPORTANTE!!</t>
  </si>
  <si>
    <t>Nota #8 Inventarios</t>
  </si>
  <si>
    <t xml:space="preserve">Total amortización del año/Gasto </t>
  </si>
  <si>
    <t>Nota#10 Propiedad, planta y equipo</t>
  </si>
  <si>
    <t>Nota#11 Activos intangibles</t>
  </si>
  <si>
    <t>Nota# 12 Retenciones y acumulaciones por pagar</t>
  </si>
  <si>
    <t>Becas del SINIAF</t>
  </si>
  <si>
    <t>Proyectos de Investigación</t>
  </si>
  <si>
    <t>0043</t>
  </si>
  <si>
    <r>
      <t xml:space="preserve">
Nota</t>
    </r>
    <r>
      <rPr>
        <b/>
        <sz val="48"/>
        <rFont val="Times New Roman"/>
        <family val="1"/>
      </rPr>
      <t xml:space="preserve"> </t>
    </r>
    <r>
      <rPr>
        <b/>
        <sz val="12"/>
        <rFont val="Times New Roman"/>
        <family val="1"/>
      </rPr>
      <t xml:space="preserve">#1.  	Entidad Económica.
</t>
    </r>
    <r>
      <rPr>
        <sz val="12"/>
        <rFont val="Times New Roman"/>
        <family val="1"/>
      </rPr>
      <t xml:space="preserve">Coniaf es una institución descentralizada del Gobierno Dominicano, que fortalece, estimula    y orienta el Sistema Nacional, Validación y Transferencia de Tecnología Agropecuaria y Forestal.  Fue instituido mediante Decreto del Poder Ejecutivo No.687-00 en fecha 2 de septiembre del año 2000 y luego en el septiembre 2012 fue  promulgada  la  Ley 251-12.                                                                                                                                                                                                         </t>
    </r>
  </si>
  <si>
    <t>N 2 (Bce General )</t>
  </si>
  <si>
    <t>Certificación 2020</t>
  </si>
  <si>
    <t xml:space="preserve">Mostrar todas las celdas q estan ocultas antes de cada total de las "Notas 7 a 48" </t>
  </si>
  <si>
    <t>del gasto</t>
  </si>
  <si>
    <t>Dra. Ana María Barceló                     Dra. Nimia Lissette Gómez	
Lic.Mayra Martínez	                        Ing. Fernando Ravelo
Ing. Carlos Sanquintín	
Ing. José A. Nova	                                                           Ing. Victor Payano	
Ing. José de los Ángeles Cepeda
Ing. César A. Montero Ramírez</t>
  </si>
  <si>
    <t>Directora Ejecutiva
Directora Técnica                                                          Enc. Depto. Administrativo y Financiero
Asesor Dirección Ejecutiva
Enc. Planificación y Desarrollo
Enc. Depto. Medio Ambiente y Recursos N.
Enc. Depto. Agricultura Competitiva
Enc. Depto. Ciencias Modernas
Enc. Dpto. Reducción de la Pobreza Rural</t>
  </si>
  <si>
    <r>
      <rPr>
        <b/>
        <sz val="12"/>
        <rFont val="Times New Roman"/>
        <family val="1"/>
      </rPr>
      <t>Propiedad, mobiliario y equipos</t>
    </r>
    <r>
      <rPr>
        <sz val="12"/>
        <rFont val="Times New Roman"/>
        <family val="1"/>
      </rPr>
      <t xml:space="preserve">
Reconocimiento y medición 
La Propiedad, mobiliario y equipo se contabilizan al costo de adquisición, cuando se retiran se da de baja al activo, a la depreciación y si aun tiene vida útil, esta se registra como un deterioro.
Los activos en desuso, se trasladan al Ministerio de Agricultura.  
</t>
    </r>
    <r>
      <rPr>
        <b/>
        <sz val="12"/>
        <rFont val="Times New Roman"/>
        <family val="1"/>
      </rPr>
      <t>Costos posteriores</t>
    </r>
    <r>
      <rPr>
        <sz val="12"/>
        <rFont val="Times New Roman"/>
        <family val="1"/>
      </rPr>
      <t xml:space="preserve">
No Aplica.
</t>
    </r>
    <r>
      <rPr>
        <b/>
        <sz val="12"/>
        <rFont val="Times New Roman"/>
        <family val="1"/>
      </rPr>
      <t>Depreciación</t>
    </r>
    <r>
      <rPr>
        <sz val="12"/>
        <rFont val="Times New Roman"/>
        <family val="1"/>
      </rPr>
      <t xml:space="preserve">
La Depreciación se calcula con el método de Línea Recta. 
Revaluación y devaluaciones
Al momento de hacer una tasación que genere revaluación y devaluación, se reconocerá como parte de los resultados del período conforme a lo definido en la NICSP 17.
</t>
    </r>
  </si>
  <si>
    <r>
      <rPr>
        <b/>
        <sz val="12"/>
        <rFont val="Times New Roman"/>
        <family val="1"/>
      </rPr>
      <t>Otros activos</t>
    </r>
    <r>
      <rPr>
        <sz val="12"/>
        <rFont val="Times New Roman"/>
        <family val="1"/>
      </rPr>
      <t xml:space="preserve">
Los activos son medidos a su valor histórico.
</t>
    </r>
    <r>
      <rPr>
        <b/>
        <sz val="12"/>
        <rFont val="Times New Roman"/>
        <family val="1"/>
      </rPr>
      <t xml:space="preserve">                                                                                                                                         Desembolsos posteriores </t>
    </r>
    <r>
      <rPr>
        <sz val="12"/>
        <rFont val="Times New Roman"/>
        <family val="1"/>
      </rPr>
      <t xml:space="preserve">
No Aplica.
</t>
    </r>
    <r>
      <rPr>
        <b/>
        <sz val="12"/>
        <rFont val="Times New Roman"/>
        <family val="1"/>
      </rPr>
      <t xml:space="preserve">                                                                                                                                               Amortización </t>
    </r>
    <r>
      <rPr>
        <sz val="12"/>
        <rFont val="Times New Roman"/>
        <family val="1"/>
      </rPr>
      <t xml:space="preserve">
La Amortización se calcula con el método de Línea Recta. 
</t>
    </r>
    <r>
      <rPr>
        <b/>
        <sz val="12"/>
        <rFont val="Times New Roman"/>
        <family val="1"/>
      </rPr>
      <t xml:space="preserve">
Deterioro del valor  
</t>
    </r>
    <r>
      <rPr>
        <sz val="12"/>
        <rFont val="Times New Roman"/>
        <family val="1"/>
      </rPr>
      <t>Activos financieros no derivados
No Aplica.</t>
    </r>
  </si>
  <si>
    <r>
      <rPr>
        <b/>
        <sz val="12"/>
        <rFont val="Times New Roman"/>
        <family val="1"/>
      </rPr>
      <t>Provisiones</t>
    </r>
    <r>
      <rPr>
        <sz val="12"/>
        <rFont val="Times New Roman"/>
        <family val="1"/>
      </rPr>
      <t xml:space="preserve">
No Aplica.
</t>
    </r>
    <r>
      <rPr>
        <b/>
        <sz val="12"/>
        <rFont val="Times New Roman"/>
        <family val="1"/>
      </rPr>
      <t xml:space="preserve">                                                                                                                                Arrendamientos operativos
</t>
    </r>
    <r>
      <rPr>
        <sz val="12"/>
        <rFont val="Times New Roman"/>
        <family val="1"/>
      </rPr>
      <t xml:space="preserve">No Aplica.
</t>
    </r>
    <r>
      <rPr>
        <b/>
        <sz val="12"/>
        <rFont val="Times New Roman"/>
        <family val="1"/>
      </rPr>
      <t xml:space="preserve">                                                                                                                                          Beneficios a los empleados</t>
    </r>
    <r>
      <rPr>
        <sz val="12"/>
        <rFont val="Times New Roman"/>
        <family val="1"/>
      </rPr>
      <t xml:space="preserve">
Los aportes al Sistema Dominicano de Seguridad Social y a los sistemas de los empleados.
</t>
    </r>
    <r>
      <rPr>
        <b/>
        <sz val="12"/>
        <rFont val="Times New Roman"/>
        <family val="1"/>
      </rPr>
      <t xml:space="preserve">
Reconocimiento de ingresos
</t>
    </r>
    <r>
      <rPr>
        <sz val="12"/>
        <rFont val="Times New Roman"/>
        <family val="1"/>
      </rPr>
      <t xml:space="preserve">Los ingresos se reciben por transferencia de la Tesorería Nacional, en la Cuenta Única del Tesoro.                                                                                                                                           
</t>
    </r>
    <r>
      <rPr>
        <b/>
        <sz val="12"/>
        <rFont val="Times New Roman"/>
        <family val="1"/>
      </rPr>
      <t xml:space="preserve">                                                                                                                                             Impuesto sobre la renta </t>
    </r>
    <r>
      <rPr>
        <sz val="12"/>
        <rFont val="Times New Roman"/>
        <family val="1"/>
      </rPr>
      <t xml:space="preserve">
El CONIAF como entidad gubernamental sin fines de lucro, está exenta de pagar impuesto sobre la renta, pero si funge como agente de retención.
</t>
    </r>
  </si>
  <si>
    <r>
      <rPr>
        <b/>
        <sz val="12"/>
        <rFont val="Times New Roman"/>
        <family val="1"/>
      </rPr>
      <t xml:space="preserve">                                                                                                                                                     Nota #4 Uso de estimados y Juicios</t>
    </r>
    <r>
      <rPr>
        <sz val="12"/>
        <rFont val="Times New Roman"/>
        <family val="1"/>
      </rPr>
      <t xml:space="preserve">
La preparación de los Estados Financieros de conformidad con las NICSP, requiere que la administración realice juicios estimaciones y supuestos que afectan la aplicación de las Políticas Contables y los montos de activos, pasivos, ingresos y gastos reportados. Los resultados reales pueden diferir de estas estimaciones.
Las estimaciones y supuestos relevantes son revisados regularmente, las cuales son reconocidas prospectivamente.
</t>
    </r>
    <r>
      <rPr>
        <b/>
        <sz val="12"/>
        <rFont val="Times New Roman"/>
        <family val="1"/>
      </rPr>
      <t xml:space="preserve">                                                                                                                                               Juicios</t>
    </r>
    <r>
      <rPr>
        <sz val="12"/>
        <rFont val="Times New Roman"/>
        <family val="1"/>
      </rPr>
      <t xml:space="preserve">
La información sobre juicios realizados en la aplicación de Políticas Contables que tienen el efecto más importante sobre los montos reconocidos en el Estado de Rendimiento Financiero se describe en la Nota referente a gastos generales y administrativos (alquileres); se determina si un acuerdo contiene un arrendamiento y su clasificación.
</t>
    </r>
    <r>
      <rPr>
        <b/>
        <sz val="12"/>
        <rFont val="Times New Roman"/>
        <family val="1"/>
      </rPr>
      <t xml:space="preserve">                                                                                                                                            Supuesto e incertidumbre en las estimaciones</t>
    </r>
    <r>
      <rPr>
        <sz val="12"/>
        <rFont val="Times New Roman"/>
        <family val="1"/>
      </rPr>
      <t xml:space="preserve">
La información sobre los supuestos e incertidumbre de estimación que tiene un riesgo significativo de resultar en un ajuste material en los años terminados el 31 de diciembre de 2020 y 2029 se incluye en la Nota referente a compromisos y contingencias; reconocimiento y medición de contingencias; supuestos claves relacionados con la probabilidad y magnitud de una salida de recursos económicos.
</t>
    </r>
  </si>
  <si>
    <r>
      <rPr>
        <b/>
        <sz val="12"/>
        <rFont val="Times New Roman"/>
        <family val="1"/>
      </rPr>
      <t>Medición de los valores razonables</t>
    </r>
    <r>
      <rPr>
        <sz val="12"/>
        <rFont val="Times New Roman"/>
        <family val="1"/>
      </rPr>
      <t xml:space="preserve">
La entidad cuenta con un marco de control establecido en relación con el cálculo de los valores razonables y tiene la responsabilidad general por la supervisión de todas las mediciones significativas de este, incluyendo los de Niveles 3.                                                                                               Cuando se mide el valor razonable de un activo o pasivo, la (nombre de la Institución que informa) utiliza siempre que sea posible, precios cotizados en un mercado activo.
                                                                                                                                                         Si el mercado para un activo o pasivo no es activo, la entidad establecerá el valor razonable utilizando una técnica de valoración. Con ésta se busca establecer cuál será el precio de una transacción realizada a la fecha de medición.
                                                                                                                                                      Los valores se clasifican en niveles distintos dentro de una jerarquía como sigue:
                                                                                                                                                    Nivel 1: Precios (no-ajustados) en mercados activos para activos o pasivos idénticos,
                                                                                                                                                    Nivel 2: Datos diferentes de los precios cotizados incluidos en el Nivel 1 que sean observados para el activo o pasivo, ya sea directa (precios) o indirectamente (derivados de los precios).
                                                                                                                                                               Nivel 3: Datos para el activo o pasivo que no se basan en datos de mercados observables (variables no observables).                                   
                                                                                                                                                         </t>
    </r>
  </si>
  <si>
    <r>
      <t xml:space="preserve">                                                                                                                                                         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
                                                                                                                                                          El Consejo Nacional de Investigaciones Agropecuarias y Forestales -CONIAF- reconoce las transferencias entre los niveles de la jerarquía del valor razonable al final del período en el que ocurrió el cambio.
                                                                                                                                                                                                       </t>
    </r>
    <r>
      <rPr>
        <b/>
        <sz val="12"/>
        <rFont val="Times New Roman"/>
        <family val="1"/>
      </rPr>
      <t xml:space="preserve">Nota #5 Base de medición </t>
    </r>
    <r>
      <rPr>
        <sz val="12"/>
        <rFont val="Times New Roman"/>
        <family val="1"/>
      </rPr>
      <t xml:space="preserve">
                                                                                                                                                          Los Estados Financieros se elaboran sobre la base del costo histórico, a excepción de los terrenos y edificios los cuales son valuados mediante tasaciones realizadas por un experto externo.</t>
    </r>
  </si>
  <si>
    <r>
      <rPr>
        <b/>
        <sz val="12"/>
        <rFont val="Times New Roman"/>
        <family val="1"/>
      </rPr>
      <t>Revaluación y devaluaciones</t>
    </r>
    <r>
      <rPr>
        <sz val="12"/>
        <rFont val="Times New Roman"/>
        <family val="1"/>
      </rPr>
      <t xml:space="preserve">
Al momento de hacer una tasación que genere revaluación y devaluación, se reconocerá como parte de los resultados del período conforme a lo definido en la NICSP 17.
                                                                                                                                                   </t>
    </r>
    <r>
      <rPr>
        <b/>
        <sz val="12"/>
        <rFont val="Times New Roman"/>
        <family val="1"/>
      </rPr>
      <t>Otros activos</t>
    </r>
    <r>
      <rPr>
        <sz val="12"/>
        <rFont val="Times New Roman"/>
        <family val="1"/>
      </rPr>
      <t xml:space="preserve">
Los activos son medidos a su valor histórico.
                                                                                                                                             </t>
    </r>
    <r>
      <rPr>
        <b/>
        <sz val="12"/>
        <rFont val="Times New Roman"/>
        <family val="1"/>
      </rPr>
      <t xml:space="preserve">Desembolsos posteriores </t>
    </r>
    <r>
      <rPr>
        <sz val="12"/>
        <rFont val="Times New Roman"/>
        <family val="1"/>
      </rPr>
      <t xml:space="preserve">
No Aplica.
Amortización 
La Amortización se calcula con el método de Línea Recta. 
</t>
    </r>
    <r>
      <rPr>
        <b/>
        <sz val="12"/>
        <rFont val="Times New Roman"/>
        <family val="1"/>
      </rPr>
      <t xml:space="preserve">Deterioro del valor  </t>
    </r>
    <r>
      <rPr>
        <sz val="12"/>
        <rFont val="Times New Roman"/>
        <family val="1"/>
      </rPr>
      <t xml:space="preserve">
Activos financieros no derivados
No Aplica.
</t>
    </r>
    <r>
      <rPr>
        <b/>
        <sz val="12"/>
        <rFont val="Times New Roman"/>
        <family val="1"/>
      </rPr>
      <t>Activos financieros medidos a costo amortizado</t>
    </r>
    <r>
      <rPr>
        <sz val="12"/>
        <rFont val="Times New Roman"/>
        <family val="1"/>
      </rPr>
      <t xml:space="preserve">
No Aplica.
</t>
    </r>
    <r>
      <rPr>
        <b/>
        <sz val="12"/>
        <rFont val="Times New Roman"/>
        <family val="1"/>
      </rPr>
      <t>Activos no financieros</t>
    </r>
    <r>
      <rPr>
        <sz val="12"/>
        <rFont val="Times New Roman"/>
        <family val="1"/>
      </rPr>
      <t xml:space="preserve">
No Aplica.
</t>
    </r>
  </si>
  <si>
    <r>
      <rPr>
        <b/>
        <sz val="12"/>
        <rFont val="Times New Roman"/>
        <family val="1"/>
      </rPr>
      <t xml:space="preserve">                                                                                                                                                        Nota#6 Resumen de Políticas Contables significativas</t>
    </r>
    <r>
      <rPr>
        <sz val="12"/>
        <rFont val="Times New Roman"/>
        <family val="1"/>
      </rPr>
      <t xml:space="preserve">
                                                                                                                                                         Los Estados Financieros del Gobierno Dominicano, están elaborados de conformidad con la ley 126-01, su Reglamento de Aplicación y las Normas de Cierre, emitidas por la Dirección General de Contabilidad Gubernamental (DIGECOG) para el año 2010.
</t>
    </r>
    <r>
      <rPr>
        <b/>
        <sz val="12"/>
        <rFont val="Times New Roman"/>
        <family val="1"/>
      </rPr>
      <t xml:space="preserve">
Instrumentos financieros
</t>
    </r>
    <r>
      <rPr>
        <sz val="12"/>
        <rFont val="Times New Roman"/>
        <family val="1"/>
      </rPr>
      <t xml:space="preserve">El CONIAF clasifica sus instrumentos financieros en el renglón de Activos corrientes, mientras que los pasivos financieros se presentan entre los pasivos no corrientes.
</t>
    </r>
    <r>
      <rPr>
        <b/>
        <sz val="12"/>
        <rFont val="Times New Roman"/>
        <family val="1"/>
      </rPr>
      <t>Activos y pasivos financieros no derivados – reconocimiento y baja en cuentas</t>
    </r>
    <r>
      <rPr>
        <sz val="12"/>
        <rFont val="Times New Roman"/>
        <family val="1"/>
      </rPr>
      <t xml:space="preserve">
Por la naturaleza de la institución este rubro No Aplica.
</t>
    </r>
    <r>
      <rPr>
        <b/>
        <sz val="12"/>
        <rFont val="Times New Roman"/>
        <family val="1"/>
      </rPr>
      <t xml:space="preserve">Activos financieros no derivados – medición </t>
    </r>
    <r>
      <rPr>
        <sz val="12"/>
        <rFont val="Times New Roman"/>
        <family val="1"/>
      </rPr>
      <t xml:space="preserve">
Por la naturaleza de la institución No Aplica.
Inventarios de materiales de oficina
Los  materiales de oficina, se registra al costo de adquisición. 
</t>
    </r>
  </si>
  <si>
    <t>notas748</t>
  </si>
  <si>
    <t>Notas</t>
  </si>
  <si>
    <t>comparativo</t>
  </si>
  <si>
    <t>efectivo7</t>
  </si>
  <si>
    <t>Comprobación         (debe dar 0.00)</t>
  </si>
  <si>
    <t>Gasto de          amortización</t>
  </si>
  <si>
    <t>Pérdida</t>
  </si>
  <si>
    <t xml:space="preserve">Sumatoria de </t>
  </si>
  <si>
    <t>Menos:</t>
  </si>
  <si>
    <t xml:space="preserve">Ver </t>
  </si>
  <si>
    <r>
      <t xml:space="preserve">                                                                                                                                                        Nota #2.   Base de presentación 
</t>
    </r>
    <r>
      <rPr>
        <sz val="12"/>
        <rFont val="Times New Roman"/>
        <family val="1"/>
      </rPr>
      <t xml:space="preserve">Los Estados Financieros han sido preparados de conformidad con las Normas Internacionales de Contabilidad del Sector Público (NICSP), adoptadas por la Dirección General de Contabilidad Gubernamental de la República Dominicana (DIGECOG).                
                                                                                                                                                         El CONIAF presenta su presupuesto aprobado según la base contable de efectivo y los Estados Financieros sobre la base de acumulación (o devengo) conforme a las estipulaciones de las NICESP 24 “Presentación de Información del Presupuesto en los Estados Financieros”.                                                                                                                           El presupuesto se aprueba según la base contable de efectivo, siguiendo una clasificación de pago por funciones. El presupuesto aprobado cubre el período fiscal que va desde el 1ro. de enero hasta el 31 de diciembre de 2022 y es incluido como información suplementaria en los Estados Financieros y sus Notas.                                                        
La emisión y aprobación final de los Estados Financieros está autorizada por la Directora  Ejecutiva como funcionaria de más alto nivel del CONIAF.                                                                                                                                      
                                                                                                                                                    </t>
    </r>
    <r>
      <rPr>
        <b/>
        <sz val="12"/>
        <rFont val="Times New Roman"/>
        <family val="1"/>
      </rPr>
      <t xml:space="preserve">Nota # 3 Moneda funcional y de presentación                                                                     </t>
    </r>
    <r>
      <rPr>
        <sz val="12"/>
        <rFont val="Times New Roman"/>
        <family val="1"/>
      </rPr>
      <t xml:space="preserve"> Los Estados Financieros están presentados en pesos dominicanos (RD$) moneda de curso legal en República Dominicana.
</t>
    </r>
  </si>
  <si>
    <t xml:space="preserve">Nota# 14 Transferencia y donaciones </t>
  </si>
  <si>
    <t xml:space="preserve">18% ITBIS   </t>
  </si>
  <si>
    <t xml:space="preserve">30% Del  ITBIS                </t>
  </si>
  <si>
    <t xml:space="preserve">Notas </t>
  </si>
  <si>
    <t>Nota# 13 Beneficios a empleados largo plazo</t>
  </si>
  <si>
    <t>Gastos totales</t>
  </si>
  <si>
    <t>Remuneraciones y contribuciones</t>
  </si>
  <si>
    <t>Contratación de servicios</t>
  </si>
  <si>
    <t>Transferencias de capital</t>
  </si>
  <si>
    <t>Bienes muebles, inmuebles e intangibles</t>
  </si>
  <si>
    <t>Obras</t>
  </si>
  <si>
    <t>Directamente de la ejecución!!</t>
  </si>
  <si>
    <t xml:space="preserve">Cuentas por pagar -Proveedores </t>
  </si>
  <si>
    <t>Nota# 12 Cuentas por pagar largo plazo</t>
  </si>
  <si>
    <t>MEPYD</t>
  </si>
  <si>
    <t>Operativo</t>
  </si>
  <si>
    <t>Cuenta del Tesoro- Operativo</t>
  </si>
  <si>
    <t>Cuenta del Tesoro -MEPyD</t>
  </si>
  <si>
    <t>Reponible 013</t>
  </si>
  <si>
    <t xml:space="preserve">Nota# 20 Gastos Financieros </t>
  </si>
  <si>
    <t>Remuneraciones al Personal con  Carácter Transitorio</t>
  </si>
  <si>
    <t>Salvar de nuevo el archivo "…para SISACNOC.DIGECOG" indicando fecha y ciclo actual</t>
  </si>
  <si>
    <t>Desplegar hojas y líneas ocultas para actualizar los datos.</t>
  </si>
  <si>
    <t xml:space="preserve">Copiar datos del archivo del período, ya cuadrado y pegar valores (como 1-2-3),  antes de cada sumatoria </t>
  </si>
  <si>
    <t>Verificar que no hayan letras o celdas a colores</t>
  </si>
  <si>
    <t xml:space="preserve">Filtrar, quitar las "Vacias" en la 1ra o 2da columna despues del ano anterior al período,celda amarilla)  </t>
  </si>
  <si>
    <t>Salvar agregando al nombre del archvio la palabra "FINAL"</t>
  </si>
  <si>
    <t>Luego de que DIGECOG valide, pasar al sigte paso</t>
  </si>
  <si>
    <t>Recoger firmas</t>
  </si>
  <si>
    <t>Trabajar los gastos en el modelo original.</t>
  </si>
  <si>
    <t>Completar la información de la hoja de datos, iniciando desde la línea 2</t>
  </si>
  <si>
    <t>Fecha Registro: 1/1/2000 - 31/12/2022</t>
  </si>
  <si>
    <t>Total de activo 2022</t>
  </si>
  <si>
    <t>Ajuste  Bce 2022 (Gastos operativos)</t>
  </si>
  <si>
    <t>Ajuste  Bce 2022 ( MEPYD)</t>
  </si>
  <si>
    <t>Pendiente</t>
  </si>
  <si>
    <t>Tomado directamente de los gastos</t>
  </si>
  <si>
    <t>19. 	     Otros gastos</t>
  </si>
  <si>
    <t>Al corte</t>
  </si>
  <si>
    <t>Por anticipado</t>
  </si>
  <si>
    <t>Consumo</t>
  </si>
  <si>
    <t>(Datos!g224+Datos!g239)</t>
  </si>
  <si>
    <t xml:space="preserve"> (Datos!E224+Datos!E246)</t>
  </si>
  <si>
    <t>17. 	        Suministros y materiales para consumo</t>
  </si>
  <si>
    <t>Pagado x</t>
  </si>
  <si>
    <t>Saldo al 30 de Junio del 2024</t>
  </si>
  <si>
    <t>Saldo al 31 de Diciembre del 2023</t>
  </si>
  <si>
    <t>Listo!</t>
  </si>
  <si>
    <t xml:space="preserve">Licencia informática </t>
  </si>
  <si>
    <t>Total de transferencias</t>
  </si>
  <si>
    <t>Equipo meteorológico y sismológico</t>
  </si>
  <si>
    <t>Equipo de elevación</t>
  </si>
  <si>
    <t>Al corte del semestre</t>
  </si>
  <si>
    <t>Deterioro</t>
  </si>
  <si>
    <t>Dif</t>
  </si>
  <si>
    <t xml:space="preserve"> =Reporte</t>
  </si>
  <si>
    <t>Gasto</t>
  </si>
  <si>
    <t>Valor Libros (Actual)</t>
  </si>
  <si>
    <t>Adiciones del período</t>
  </si>
  <si>
    <t>Depreciación del período</t>
  </si>
  <si>
    <t>f</t>
  </si>
  <si>
    <t xml:space="preserve">Corte </t>
  </si>
  <si>
    <t>Cierre</t>
  </si>
  <si>
    <t>Sub total equi</t>
  </si>
  <si>
    <t>Licencia TI</t>
  </si>
  <si>
    <t>Gasto por anticipado a Junio</t>
  </si>
  <si>
    <t xml:space="preserve">Nota: </t>
  </si>
  <si>
    <t xml:space="preserve">Aumento de activos fijos </t>
  </si>
  <si>
    <t xml:space="preserve">Disminución del Activo corriente </t>
  </si>
  <si>
    <t xml:space="preserve">Disminución de las cuentas por pagar </t>
  </si>
  <si>
    <t xml:space="preserve">Total del ajuste </t>
  </si>
  <si>
    <t>Al 30 de Junio del 2025 y 2024</t>
  </si>
  <si>
    <t>Costos de adquisición  (2024)</t>
  </si>
  <si>
    <t>Prop. planta y equipos neto (2025 )</t>
  </si>
  <si>
    <t>Del ejercicio terminado al 30 de Junio del 2025 y 2024</t>
  </si>
  <si>
    <t>Durante el período Terminado el 30 de Junio del 2025</t>
  </si>
  <si>
    <t>Saldo al 31 de Diciembre del 2024</t>
  </si>
  <si>
    <t>Saldo al 30 de Junio del 2025</t>
  </si>
  <si>
    <t>Al 30 de Junio del 2025</t>
  </si>
  <si>
    <t>OK</t>
  </si>
  <si>
    <t>Energía eléctrica,agua y Rec.Residuos sólidos</t>
  </si>
  <si>
    <t>2.2.7.1.01</t>
  </si>
  <si>
    <t>2.2.7.1.06</t>
  </si>
  <si>
    <t>Instalaciones eléctricas</t>
  </si>
  <si>
    <t>2.2.7.2.06</t>
  </si>
  <si>
    <t>2.2.8.7.01</t>
  </si>
  <si>
    <t>Estudios de ingenierias, investigaciones</t>
  </si>
  <si>
    <t>Impuestos </t>
  </si>
  <si>
    <t>2.3.7.2.99</t>
  </si>
  <si>
    <t xml:space="preserve">Otros productos químicos y conexos </t>
  </si>
  <si>
    <t>Repuestos y accesorios menores</t>
  </si>
  <si>
    <t>2.3.9.8.02</t>
  </si>
  <si>
    <t>Accesorios</t>
  </si>
  <si>
    <t>1</t>
  </si>
  <si>
    <t>Ok</t>
  </si>
  <si>
    <t>Transferencia a otras instituciones</t>
  </si>
  <si>
    <t>Este consejo reportó:</t>
  </si>
  <si>
    <t>Pend</t>
  </si>
  <si>
    <t xml:space="preserve">Otros </t>
  </si>
  <si>
    <t>Equipos de telecomunicación y señalamiento</t>
  </si>
  <si>
    <t xml:space="preserve"> Nota # 15 Sueldos, Salarios y beneficios a empleados</t>
  </si>
  <si>
    <t/>
  </si>
  <si>
    <t>Amortización Licencia Informática</t>
  </si>
  <si>
    <t>Amortización seguros muebles e inmuebles</t>
  </si>
  <si>
    <t>Las notas en las páginas 7 al 48 son parte integral de estos Estados Financieros</t>
  </si>
  <si>
    <t>Consejo Nacional de Investigaciones Agropecuarias y Foresltales - CONIAF</t>
  </si>
  <si>
    <t xml:space="preserve">                         Enc. Contabilidad</t>
  </si>
  <si>
    <t xml:space="preserve">  Dra. Ana María Barceló</t>
  </si>
  <si>
    <t xml:space="preserve">      Directora Ejecutiva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</si>
</sst>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_(* \(#,##0\);_(* &quot;-&quot;_);_(@_)"/>
    <numFmt numFmtId="43" formatCode="_(* #,##0.00_);_(* \(#,##0.00\);_(* &quot;-&quot;??_);_(@_)"/>
    <numFmt numFmtId="164" formatCode="_-* #,##0.00\ &quot;€&quot;_-;\-* #,##0.00\ &quot;€&quot;_-;_-* &quot;-&quot;??\ &quot;€&quot;_-;_-@_-"/>
    <numFmt numFmtId="165" formatCode="_-* #,##0.00_-;\-* #,##0.00_-;_-* &quot;-&quot;??_-;_-@_-"/>
    <numFmt numFmtId="166" formatCode="_(&quot;RD$&quot;* #,##0.00_);_(&quot;RD$&quot;* \(#,##0.00\);_(&quot;RD$&quot;* &quot;-&quot;??_);_(@_)"/>
    <numFmt numFmtId="167" formatCode="_-* #,##0.00\ _P_t_s_-;\-* #,##0.00\ _P_t_s_-;_-* &quot;-&quot;??\ _P_t_s_-;_-@_-"/>
    <numFmt numFmtId="168" formatCode="_(* #,##0_);_(* \(#,##0\);_(* &quot;-&quot;??_);_(@_)"/>
    <numFmt numFmtId="169" formatCode="_-* #,##0.00\ _€_-;\-* #,##0.00\ _€_-;_-* &quot;-&quot;??\ _€_-;_-@_-"/>
  </numFmts>
  <fonts count="71" x14ac:knownFonts="1">
    <font>
      <sz val="11"/>
      <color theme="1"/>
      <name val="Calibri"/>
      <family val="2"/>
      <scheme val="minor"/>
    </font>
    <font>
      <b/>
      <sz val="12"/>
      <color theme="1"/>
      <name val="Times New Roman"/>
      <family val="1"/>
    </font>
    <font>
      <b/>
      <sz val="6"/>
      <color theme="1"/>
      <name val="Times New Roman"/>
      <family val="1"/>
    </font>
    <font>
      <sz val="11"/>
      <color theme="1"/>
      <name val="Times New Roman"/>
      <family val="1"/>
    </font>
    <font>
      <b/>
      <sz val="11"/>
      <color theme="1"/>
      <name val="Times New Roman"/>
      <family val="1"/>
    </font>
    <font>
      <sz val="11"/>
      <color theme="1"/>
      <name val="Calibri"/>
      <family val="2"/>
      <scheme val="minor"/>
    </font>
    <font>
      <sz val="10"/>
      <name val="Arial"/>
      <family val="2"/>
    </font>
    <font>
      <sz val="11"/>
      <color rgb="FF000000"/>
      <name val="Calibri"/>
      <family val="2"/>
      <scheme val="minor"/>
    </font>
    <font>
      <sz val="11"/>
      <color rgb="FFFF0000"/>
      <name val="Times New Roman"/>
      <family val="1"/>
    </font>
    <font>
      <sz val="10"/>
      <name val="Arial"/>
      <family val="2"/>
    </font>
    <font>
      <b/>
      <sz val="11"/>
      <name val="Times New Roman"/>
      <family val="1"/>
    </font>
    <font>
      <sz val="11"/>
      <name val="Times New Roman"/>
      <family val="1"/>
    </font>
    <font>
      <b/>
      <sz val="12"/>
      <name val="Times New Roman"/>
      <family val="1"/>
    </font>
    <font>
      <sz val="11"/>
      <color rgb="FFFF0000"/>
      <name val="Calibri"/>
      <family val="2"/>
      <scheme val="minor"/>
    </font>
    <font>
      <b/>
      <sz val="11"/>
      <color theme="1"/>
      <name val="Calibri"/>
      <family val="2"/>
      <scheme val="minor"/>
    </font>
    <font>
      <sz val="11"/>
      <color theme="0"/>
      <name val="Times New Roman"/>
      <family val="1"/>
    </font>
    <font>
      <sz val="11"/>
      <name val="Calibri"/>
      <family val="2"/>
      <scheme val="minor"/>
    </font>
    <font>
      <b/>
      <u/>
      <sz val="11"/>
      <name val="Times New Roman"/>
      <family val="1"/>
    </font>
    <font>
      <b/>
      <sz val="11"/>
      <color theme="0"/>
      <name val="Times New Roman"/>
      <family val="1"/>
    </font>
    <font>
      <sz val="10"/>
      <name val="Calibri"/>
      <family val="2"/>
      <scheme val="minor"/>
    </font>
    <font>
      <b/>
      <sz val="12"/>
      <name val="Calibri"/>
      <family val="2"/>
      <scheme val="minor"/>
    </font>
    <font>
      <b/>
      <sz val="10"/>
      <name val="Calibri"/>
      <family val="2"/>
      <scheme val="minor"/>
    </font>
    <font>
      <sz val="8"/>
      <name val="Times New Roman"/>
      <family val="1"/>
    </font>
    <font>
      <sz val="8"/>
      <name val="Calibri"/>
      <family val="2"/>
      <scheme val="minor"/>
    </font>
    <font>
      <sz val="12"/>
      <name val="Times New Roman"/>
      <family val="1"/>
    </font>
    <font>
      <sz val="12"/>
      <color rgb="FFFF0000"/>
      <name val="Times New Roman"/>
      <family val="1"/>
    </font>
    <font>
      <sz val="9"/>
      <color indexed="81"/>
      <name val="Tahoma"/>
      <family val="2"/>
    </font>
    <font>
      <b/>
      <sz val="9"/>
      <color indexed="81"/>
      <name val="Tahoma"/>
      <family val="2"/>
    </font>
    <font>
      <sz val="11"/>
      <color indexed="8"/>
      <name val="Calibri"/>
      <family val="2"/>
    </font>
    <font>
      <b/>
      <sz val="11"/>
      <color rgb="FFFF0000"/>
      <name val="Calibri"/>
      <family val="2"/>
      <scheme val="minor"/>
    </font>
    <font>
      <b/>
      <u/>
      <sz val="11"/>
      <color rgb="FFFF0000"/>
      <name val="Calibri"/>
      <family val="2"/>
      <scheme val="minor"/>
    </font>
    <font>
      <u val="singleAccounting"/>
      <sz val="11"/>
      <color theme="1"/>
      <name val="Calibri"/>
      <family val="2"/>
      <scheme val="minor"/>
    </font>
    <font>
      <b/>
      <sz val="11"/>
      <name val="Calibri"/>
      <family val="2"/>
      <scheme val="minor"/>
    </font>
    <font>
      <b/>
      <u val="singleAccounting"/>
      <sz val="11"/>
      <color theme="1"/>
      <name val="Calibri"/>
      <family val="2"/>
      <scheme val="minor"/>
    </font>
    <font>
      <b/>
      <sz val="11"/>
      <color rgb="FFFF0000"/>
      <name val="Times New Roman"/>
      <family val="1"/>
    </font>
    <font>
      <b/>
      <u/>
      <sz val="11"/>
      <color theme="1"/>
      <name val="Calibri"/>
      <family val="2"/>
      <scheme val="minor"/>
    </font>
    <font>
      <b/>
      <u/>
      <sz val="11"/>
      <color rgb="FFFF0000"/>
      <name val="Times New Roman"/>
      <family val="1"/>
    </font>
    <font>
      <b/>
      <sz val="12"/>
      <color rgb="FFFF0000"/>
      <name val="Times New Roman"/>
      <family val="1"/>
    </font>
    <font>
      <sz val="10"/>
      <color rgb="FF000000"/>
      <name val="Times New Roman"/>
      <family val="1"/>
    </font>
    <font>
      <b/>
      <sz val="10"/>
      <color theme="1"/>
      <name val="Calibri"/>
      <family val="2"/>
      <scheme val="minor"/>
    </font>
    <font>
      <sz val="10"/>
      <color theme="1"/>
      <name val="Calibri"/>
      <family val="2"/>
      <scheme val="minor"/>
    </font>
    <font>
      <b/>
      <sz val="10"/>
      <color rgb="FFFF0000"/>
      <name val="Calibri"/>
      <family val="2"/>
      <scheme val="minor"/>
    </font>
    <font>
      <sz val="11"/>
      <color rgb="FF0070C0"/>
      <name val="Calibri"/>
      <family val="2"/>
      <scheme val="minor"/>
    </font>
    <font>
      <b/>
      <u val="singleAccounting"/>
      <sz val="11"/>
      <color rgb="FFFF0000"/>
      <name val="Calibri"/>
      <family val="2"/>
      <scheme val="minor"/>
    </font>
    <font>
      <sz val="12"/>
      <color rgb="FF231F20"/>
      <name val="Times New Roman"/>
      <family val="1"/>
    </font>
    <font>
      <sz val="11"/>
      <color theme="4"/>
      <name val="Calibri"/>
      <family val="2"/>
      <scheme val="minor"/>
    </font>
    <font>
      <b/>
      <sz val="11"/>
      <color theme="4"/>
      <name val="Calibri"/>
      <family val="2"/>
      <scheme val="minor"/>
    </font>
    <font>
      <sz val="12"/>
      <color theme="1"/>
      <name val="Times New Roman"/>
      <family val="1"/>
    </font>
    <font>
      <sz val="12"/>
      <color theme="1"/>
      <name val="Calibri"/>
      <family val="2"/>
      <scheme val="minor"/>
    </font>
    <font>
      <b/>
      <u/>
      <sz val="11"/>
      <name val="Calibri"/>
      <family val="2"/>
      <scheme val="minor"/>
    </font>
    <font>
      <sz val="10"/>
      <name val="Times New Roman"/>
      <family val="1"/>
    </font>
    <font>
      <b/>
      <sz val="10"/>
      <color rgb="FF000000"/>
      <name val="Calibri"/>
      <family val="2"/>
      <scheme val="minor"/>
    </font>
    <font>
      <b/>
      <sz val="10"/>
      <color rgb="FF000000"/>
      <name val="Times New Roman"/>
      <family val="2"/>
    </font>
    <font>
      <b/>
      <sz val="10"/>
      <name val="Times New Roman"/>
      <family val="1"/>
    </font>
    <font>
      <sz val="9"/>
      <color theme="1"/>
      <name val="Calibri"/>
      <family val="2"/>
      <scheme val="minor"/>
    </font>
    <font>
      <b/>
      <sz val="10"/>
      <color rgb="FFFF0000"/>
      <name val="Times New Roman"/>
      <family val="1"/>
    </font>
    <font>
      <sz val="9"/>
      <name val="Calibri"/>
      <family val="2"/>
      <scheme val="minor"/>
    </font>
    <font>
      <sz val="9"/>
      <color rgb="FFFF0000"/>
      <name val="Calibri"/>
      <family val="2"/>
      <scheme val="minor"/>
    </font>
    <font>
      <sz val="11"/>
      <color theme="0"/>
      <name val="Calibri"/>
      <family val="2"/>
      <scheme val="minor"/>
    </font>
    <font>
      <sz val="11"/>
      <color rgb="FFFFFF00"/>
      <name val="Times New Roman"/>
      <family val="1"/>
    </font>
    <font>
      <b/>
      <sz val="48"/>
      <name val="Times New Roman"/>
      <family val="1"/>
    </font>
    <font>
      <b/>
      <sz val="10"/>
      <name val="Times New Roman"/>
      <family val="2"/>
    </font>
    <font>
      <b/>
      <sz val="11"/>
      <color theme="0"/>
      <name val="Calibri"/>
      <family val="2"/>
      <scheme val="minor"/>
    </font>
    <font>
      <sz val="8"/>
      <color rgb="FFFF0000"/>
      <name val="Times New Roman"/>
      <family val="1"/>
    </font>
    <font>
      <b/>
      <sz val="11"/>
      <color rgb="FF000000"/>
      <name val="Calibri"/>
      <family val="2"/>
      <scheme val="minor"/>
    </font>
    <font>
      <sz val="10"/>
      <color rgb="FFFF0000"/>
      <name val="Times New Roman"/>
      <family val="1"/>
    </font>
    <font>
      <sz val="10"/>
      <color rgb="FFFF0000"/>
      <name val="Calibri"/>
      <family val="2"/>
      <scheme val="minor"/>
    </font>
    <font>
      <sz val="9"/>
      <name val="Times New Roman"/>
      <family val="1"/>
    </font>
    <font>
      <sz val="11"/>
      <color theme="5"/>
      <name val="Times New Roman"/>
      <family val="1"/>
    </font>
    <font>
      <sz val="11"/>
      <color theme="5"/>
      <name val="Calibri"/>
      <family val="2"/>
      <scheme val="minor"/>
    </font>
    <font>
      <sz val="11"/>
      <color theme="3"/>
      <name val="Calibri"/>
      <family val="2"/>
      <scheme val="minor"/>
    </font>
  </fonts>
  <fills count="12">
    <fill>
      <patternFill patternType="none"/>
    </fill>
    <fill>
      <patternFill patternType="gray125"/>
    </fill>
    <fill>
      <patternFill patternType="solid">
        <fgColor rgb="FF0070C0"/>
        <bgColor indexed="64"/>
      </patternFill>
    </fill>
    <fill>
      <patternFill patternType="solid">
        <fgColor theme="9" tint="0.79998168889431442"/>
        <bgColor indexed="64"/>
      </patternFill>
    </fill>
    <fill>
      <patternFill patternType="solid">
        <fgColor rgb="FFFFFF0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4" tint="0.79998168889431442"/>
        <bgColor indexed="64"/>
      </patternFill>
    </fill>
  </fills>
  <borders count="57">
    <border>
      <left/>
      <right/>
      <top/>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23"/>
      </top>
      <bottom style="thin">
        <color indexed="23"/>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19">
    <xf numFmtId="0" fontId="0" fillId="0" borderId="0"/>
    <xf numFmtId="0" fontId="6" fillId="0" borderId="0"/>
    <xf numFmtId="43" fontId="6" fillId="0" borderId="0" applyFont="0" applyFill="0" applyBorder="0" applyAlignment="0" applyProtection="0"/>
    <xf numFmtId="166" fontId="6" fillId="0" borderId="0" applyFont="0" applyFill="0" applyBorder="0" applyAlignment="0" applyProtection="0"/>
    <xf numFmtId="0" fontId="5" fillId="0" borderId="0"/>
    <xf numFmtId="43" fontId="6" fillId="0" borderId="0" applyFont="0" applyFill="0" applyBorder="0" applyAlignment="0" applyProtection="0"/>
    <xf numFmtId="167" fontId="6" fillId="0" borderId="0" applyFont="0" applyFill="0" applyBorder="0" applyAlignment="0" applyProtection="0"/>
    <xf numFmtId="43" fontId="9" fillId="0" borderId="0" applyFont="0" applyFill="0" applyBorder="0" applyAlignment="0" applyProtection="0"/>
    <xf numFmtId="0" fontId="7" fillId="0" borderId="0"/>
    <xf numFmtId="43" fontId="5" fillId="0" borderId="0" applyFont="0" applyFill="0" applyBorder="0" applyAlignment="0" applyProtection="0"/>
    <xf numFmtId="0" fontId="6" fillId="0" borderId="0"/>
    <xf numFmtId="43" fontId="6" fillId="0" borderId="0" applyFont="0" applyFill="0" applyBorder="0" applyAlignment="0" applyProtection="0"/>
    <xf numFmtId="167" fontId="6" fillId="0" borderId="0" applyFont="0" applyFill="0" applyBorder="0" applyAlignment="0" applyProtection="0"/>
    <xf numFmtId="43" fontId="28" fillId="0" borderId="0" applyFont="0" applyFill="0" applyBorder="0" applyAlignment="0" applyProtection="0"/>
    <xf numFmtId="0" fontId="38" fillId="0" borderId="0"/>
    <xf numFmtId="164" fontId="5" fillId="0" borderId="0" applyFont="0" applyFill="0" applyBorder="0" applyAlignment="0" applyProtection="0"/>
    <xf numFmtId="165" fontId="5" fillId="0" borderId="0" applyFont="0" applyFill="0" applyBorder="0" applyAlignment="0" applyProtection="0"/>
    <xf numFmtId="169" fontId="5" fillId="0" borderId="0" applyFont="0" applyFill="0" applyBorder="0" applyAlignment="0" applyProtection="0"/>
    <xf numFmtId="0" fontId="5" fillId="0" borderId="0" applyNumberFormat="0" applyFill="0" applyBorder="0" applyAlignment="0" applyProtection="0"/>
  </cellStyleXfs>
  <cellXfs count="666">
    <xf numFmtId="0" fontId="0" fillId="0" borderId="0" xfId="0"/>
    <xf numFmtId="0" fontId="3" fillId="0" borderId="0" xfId="0" applyFont="1" applyAlignment="1">
      <alignment vertical="center"/>
    </xf>
    <xf numFmtId="0" fontId="3" fillId="0" borderId="0" xfId="0" applyFont="1"/>
    <xf numFmtId="41" fontId="3" fillId="0" borderId="0" xfId="0" applyNumberFormat="1" applyFont="1" applyAlignment="1">
      <alignment vertical="center"/>
    </xf>
    <xf numFmtId="0" fontId="0" fillId="0" borderId="0" xfId="0" applyAlignment="1">
      <alignment vertical="center"/>
    </xf>
    <xf numFmtId="0" fontId="3" fillId="0" borderId="4" xfId="0" applyFont="1" applyBorder="1" applyAlignment="1">
      <alignment vertical="center"/>
    </xf>
    <xf numFmtId="0" fontId="3" fillId="0" borderId="0" xfId="0" applyFont="1" applyAlignment="1" applyProtection="1">
      <alignment vertical="center"/>
      <protection locked="0"/>
    </xf>
    <xf numFmtId="0" fontId="11" fillId="0" borderId="0" xfId="0" applyFont="1" applyAlignment="1" applyProtection="1">
      <alignment vertical="center"/>
      <protection locked="0"/>
    </xf>
    <xf numFmtId="0" fontId="15" fillId="0" borderId="0" xfId="0" applyFont="1" applyAlignment="1" applyProtection="1">
      <alignment vertical="center"/>
      <protection locked="0"/>
    </xf>
    <xf numFmtId="41" fontId="11" fillId="0" borderId="0" xfId="0" applyNumberFormat="1" applyFont="1" applyAlignment="1" applyProtection="1">
      <alignment vertical="center"/>
      <protection locked="0"/>
    </xf>
    <xf numFmtId="0" fontId="1" fillId="0" borderId="0" xfId="0" applyFont="1" applyAlignment="1" applyProtection="1">
      <alignment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vertical="center"/>
      <protection locked="0"/>
    </xf>
    <xf numFmtId="0" fontId="18" fillId="2" borderId="0" xfId="0" applyFont="1" applyFill="1" applyAlignment="1" applyProtection="1">
      <alignment vertical="center"/>
      <protection locked="0"/>
    </xf>
    <xf numFmtId="49" fontId="11" fillId="0" borderId="0" xfId="0" applyNumberFormat="1" applyFont="1" applyAlignment="1" applyProtection="1">
      <alignment horizontal="center" vertical="center"/>
      <protection locked="0"/>
    </xf>
    <xf numFmtId="0" fontId="10" fillId="2" borderId="0" xfId="0" applyFont="1" applyFill="1" applyAlignment="1" applyProtection="1">
      <alignment vertical="center"/>
      <protection locked="0"/>
    </xf>
    <xf numFmtId="49" fontId="16" fillId="0" borderId="0" xfId="0" applyNumberFormat="1" applyFont="1" applyAlignment="1" applyProtection="1">
      <alignment horizontal="center" vertical="center"/>
      <protection locked="0"/>
    </xf>
    <xf numFmtId="0" fontId="16" fillId="0" borderId="0" xfId="0" applyFont="1" applyAlignment="1" applyProtection="1">
      <alignment vertical="center"/>
      <protection locked="0"/>
    </xf>
    <xf numFmtId="0" fontId="10" fillId="0" borderId="0" xfId="0" applyFont="1" applyAlignment="1" applyProtection="1">
      <alignment vertical="center"/>
      <protection locked="0"/>
    </xf>
    <xf numFmtId="0" fontId="20" fillId="0" borderId="0" xfId="0" applyFont="1" applyAlignment="1" applyProtection="1">
      <alignment vertical="center"/>
      <protection locked="0"/>
    </xf>
    <xf numFmtId="0" fontId="21" fillId="0" borderId="0" xfId="0" applyFont="1" applyAlignment="1" applyProtection="1">
      <alignment vertical="center"/>
      <protection locked="0"/>
    </xf>
    <xf numFmtId="0" fontId="11" fillId="0" borderId="0" xfId="1" applyFont="1" applyAlignment="1" applyProtection="1">
      <alignment vertical="center"/>
      <protection locked="0"/>
    </xf>
    <xf numFmtId="0" fontId="3" fillId="0" borderId="0" xfId="0" applyFont="1" applyAlignment="1" applyProtection="1">
      <alignment horizontal="right" vertical="center"/>
      <protection locked="0"/>
    </xf>
    <xf numFmtId="0" fontId="2"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vertical="center"/>
    </xf>
    <xf numFmtId="0" fontId="0" fillId="0" borderId="14" xfId="0" applyBorder="1"/>
    <xf numFmtId="0" fontId="0" fillId="0" borderId="15" xfId="0" applyBorder="1"/>
    <xf numFmtId="0" fontId="8" fillId="0" borderId="0" xfId="0" applyFont="1" applyAlignment="1">
      <alignment vertical="center"/>
    </xf>
    <xf numFmtId="0" fontId="0" fillId="0" borderId="17" xfId="0" applyBorder="1"/>
    <xf numFmtId="0" fontId="4" fillId="0" borderId="4" xfId="0" applyFont="1" applyBorder="1" applyAlignment="1">
      <alignment horizontal="center" vertical="center" wrapText="1"/>
    </xf>
    <xf numFmtId="0" fontId="24" fillId="0" borderId="0" xfId="0" applyFont="1" applyAlignment="1">
      <alignment horizontal="left"/>
    </xf>
    <xf numFmtId="0" fontId="24" fillId="0" borderId="0" xfId="0" applyFont="1"/>
    <xf numFmtId="3" fontId="24" fillId="0" borderId="0" xfId="0" applyNumberFormat="1" applyFont="1" applyAlignment="1">
      <alignment horizontal="justify" vertical="center"/>
    </xf>
    <xf numFmtId="168" fontId="24" fillId="0" borderId="0" xfId="9" applyNumberFormat="1" applyFont="1"/>
    <xf numFmtId="43" fontId="24" fillId="0" borderId="0" xfId="0" applyNumberFormat="1" applyFont="1"/>
    <xf numFmtId="0" fontId="12" fillId="0" borderId="0" xfId="0" applyFont="1" applyAlignment="1">
      <alignment horizontal="right"/>
    </xf>
    <xf numFmtId="0" fontId="12" fillId="0" borderId="0" xfId="0" applyFont="1" applyAlignment="1">
      <alignment vertical="center"/>
    </xf>
    <xf numFmtId="0" fontId="16" fillId="0" borderId="0" xfId="0" applyFont="1"/>
    <xf numFmtId="43" fontId="13" fillId="0" borderId="0" xfId="9" applyFont="1"/>
    <xf numFmtId="0" fontId="0" fillId="0" borderId="21" xfId="0" applyBorder="1"/>
    <xf numFmtId="0" fontId="0" fillId="0" borderId="22" xfId="0" applyBorder="1"/>
    <xf numFmtId="0" fontId="0" fillId="0" borderId="23" xfId="0" applyBorder="1"/>
    <xf numFmtId="43" fontId="5" fillId="0" borderId="0" xfId="13" applyFont="1"/>
    <xf numFmtId="43" fontId="13" fillId="0" borderId="0" xfId="13" applyFont="1"/>
    <xf numFmtId="43" fontId="13" fillId="4" borderId="0" xfId="13" applyFont="1" applyFill="1"/>
    <xf numFmtId="43" fontId="14" fillId="0" borderId="0" xfId="13" applyFont="1"/>
    <xf numFmtId="43" fontId="16" fillId="0" borderId="0" xfId="13" applyFont="1"/>
    <xf numFmtId="43" fontId="0" fillId="0" borderId="0" xfId="13" applyFont="1"/>
    <xf numFmtId="43" fontId="29" fillId="0" borderId="28" xfId="13" applyFont="1" applyBorder="1"/>
    <xf numFmtId="43" fontId="14" fillId="4" borderId="0" xfId="13" applyFont="1" applyFill="1"/>
    <xf numFmtId="1" fontId="14" fillId="0" borderId="0" xfId="9" applyNumberFormat="1" applyFont="1" applyAlignment="1">
      <alignment horizontal="center"/>
    </xf>
    <xf numFmtId="43" fontId="5" fillId="0" borderId="0" xfId="13" applyFont="1" applyBorder="1"/>
    <xf numFmtId="43" fontId="14" fillId="0" borderId="0" xfId="13" applyFont="1" applyBorder="1"/>
    <xf numFmtId="43" fontId="29" fillId="0" borderId="22" xfId="13" applyFont="1" applyBorder="1"/>
    <xf numFmtId="43" fontId="0" fillId="4" borderId="0" xfId="13" applyFont="1" applyFill="1"/>
    <xf numFmtId="43" fontId="29" fillId="3" borderId="24" xfId="13" applyFont="1" applyFill="1" applyBorder="1"/>
    <xf numFmtId="43" fontId="29" fillId="3" borderId="28" xfId="13" applyFont="1" applyFill="1" applyBorder="1"/>
    <xf numFmtId="43" fontId="14" fillId="3" borderId="2" xfId="13" applyFont="1" applyFill="1" applyBorder="1" applyAlignment="1">
      <alignment horizontal="right"/>
    </xf>
    <xf numFmtId="43" fontId="14" fillId="3" borderId="6" xfId="13" applyFont="1" applyFill="1" applyBorder="1"/>
    <xf numFmtId="43" fontId="14" fillId="3" borderId="11" xfId="13" applyFont="1" applyFill="1" applyBorder="1"/>
    <xf numFmtId="43" fontId="14" fillId="3" borderId="24" xfId="13" applyFont="1" applyFill="1" applyBorder="1" applyAlignment="1">
      <alignment horizontal="right"/>
    </xf>
    <xf numFmtId="43" fontId="29" fillId="3" borderId="27" xfId="13" applyFont="1" applyFill="1" applyBorder="1"/>
    <xf numFmtId="43" fontId="14" fillId="3" borderId="0" xfId="13" applyFont="1" applyFill="1"/>
    <xf numFmtId="43" fontId="0" fillId="0" borderId="0" xfId="13" applyFont="1" applyBorder="1"/>
    <xf numFmtId="43" fontId="14" fillId="3" borderId="28" xfId="13" applyFont="1" applyFill="1" applyBorder="1" applyAlignment="1">
      <alignment horizontal="right"/>
    </xf>
    <xf numFmtId="43" fontId="14" fillId="3" borderId="28" xfId="13" applyFont="1" applyFill="1" applyBorder="1"/>
    <xf numFmtId="43" fontId="29" fillId="0" borderId="24" xfId="13" applyFont="1" applyBorder="1"/>
    <xf numFmtId="0" fontId="13" fillId="0" borderId="0" xfId="0" applyFont="1"/>
    <xf numFmtId="43" fontId="0" fillId="0" borderId="0" xfId="9" applyFont="1"/>
    <xf numFmtId="43" fontId="31" fillId="0" borderId="0" xfId="13" applyFont="1"/>
    <xf numFmtId="43" fontId="14" fillId="4" borderId="0" xfId="13" applyFont="1" applyFill="1" applyAlignment="1">
      <alignment horizontal="center"/>
    </xf>
    <xf numFmtId="0" fontId="0" fillId="4" borderId="0" xfId="0" applyFill="1"/>
    <xf numFmtId="43" fontId="29" fillId="0" borderId="0" xfId="13" applyFont="1" applyAlignment="1">
      <alignment horizontal="center"/>
    </xf>
    <xf numFmtId="43" fontId="14" fillId="0" borderId="0" xfId="13" applyFont="1" applyAlignment="1">
      <alignment horizontal="center"/>
    </xf>
    <xf numFmtId="168" fontId="0" fillId="0" borderId="22" xfId="9" applyNumberFormat="1" applyFont="1" applyBorder="1"/>
    <xf numFmtId="43" fontId="5" fillId="0" borderId="0" xfId="13" applyFont="1" applyFill="1"/>
    <xf numFmtId="0" fontId="14" fillId="0" borderId="0" xfId="0" applyFont="1" applyAlignment="1">
      <alignment horizontal="center"/>
    </xf>
    <xf numFmtId="43" fontId="33" fillId="0" borderId="0" xfId="13" applyFont="1"/>
    <xf numFmtId="43" fontId="5" fillId="0" borderId="32" xfId="13" applyFont="1" applyBorder="1"/>
    <xf numFmtId="43" fontId="5" fillId="0" borderId="35" xfId="13" applyFont="1" applyBorder="1"/>
    <xf numFmtId="43" fontId="5" fillId="0" borderId="37" xfId="13" applyFont="1" applyBorder="1"/>
    <xf numFmtId="43" fontId="14" fillId="0" borderId="0" xfId="13" applyFont="1" applyFill="1"/>
    <xf numFmtId="43" fontId="5" fillId="0" borderId="34" xfId="13" applyFont="1" applyFill="1" applyBorder="1"/>
    <xf numFmtId="43" fontId="5" fillId="0" borderId="36" xfId="13" applyFont="1" applyFill="1" applyBorder="1"/>
    <xf numFmtId="43" fontId="0" fillId="0" borderId="36" xfId="13" applyFont="1" applyFill="1" applyBorder="1"/>
    <xf numFmtId="43" fontId="14" fillId="0" borderId="36" xfId="13" applyFont="1" applyFill="1" applyBorder="1"/>
    <xf numFmtId="43" fontId="5" fillId="0" borderId="38" xfId="13" applyFont="1" applyFill="1" applyBorder="1"/>
    <xf numFmtId="43" fontId="14" fillId="0" borderId="0" xfId="13" applyFont="1" applyFill="1" applyBorder="1"/>
    <xf numFmtId="43" fontId="16" fillId="0" borderId="35" xfId="13" applyFont="1" applyFill="1" applyBorder="1"/>
    <xf numFmtId="43" fontId="16" fillId="0" borderId="37" xfId="13" applyFont="1" applyFill="1" applyBorder="1"/>
    <xf numFmtId="43" fontId="32" fillId="3" borderId="5" xfId="13" applyFont="1" applyFill="1" applyBorder="1"/>
    <xf numFmtId="43" fontId="14" fillId="3" borderId="33" xfId="13" applyFont="1" applyFill="1" applyBorder="1"/>
    <xf numFmtId="43" fontId="32" fillId="3" borderId="28" xfId="13" applyFont="1" applyFill="1" applyBorder="1"/>
    <xf numFmtId="43" fontId="14" fillId="0" borderId="28" xfId="13" applyFont="1" applyBorder="1" applyAlignment="1">
      <alignment horizontal="right"/>
    </xf>
    <xf numFmtId="43" fontId="14" fillId="0" borderId="40" xfId="13" applyFont="1" applyBorder="1"/>
    <xf numFmtId="43" fontId="14" fillId="0" borderId="40" xfId="13" applyFont="1" applyFill="1" applyBorder="1"/>
    <xf numFmtId="43" fontId="14" fillId="3" borderId="5" xfId="13" applyFont="1" applyFill="1" applyBorder="1"/>
    <xf numFmtId="43" fontId="5" fillId="0" borderId="39" xfId="13" applyFont="1" applyBorder="1"/>
    <xf numFmtId="0" fontId="14" fillId="0" borderId="0" xfId="0" applyFont="1"/>
    <xf numFmtId="41" fontId="0" fillId="0" borderId="0" xfId="0" applyNumberFormat="1"/>
    <xf numFmtId="43" fontId="0" fillId="3" borderId="28" xfId="9" applyFont="1" applyFill="1" applyBorder="1"/>
    <xf numFmtId="43" fontId="0" fillId="3" borderId="26" xfId="9" applyFont="1" applyFill="1" applyBorder="1"/>
    <xf numFmtId="0" fontId="14" fillId="3" borderId="24" xfId="0" applyFont="1" applyFill="1" applyBorder="1" applyAlignment="1">
      <alignment horizontal="right"/>
    </xf>
    <xf numFmtId="0" fontId="14" fillId="3" borderId="28" xfId="0" applyFont="1" applyFill="1" applyBorder="1" applyAlignment="1">
      <alignment horizontal="right"/>
    </xf>
    <xf numFmtId="0" fontId="13" fillId="4" borderId="0" xfId="0" applyFont="1" applyFill="1"/>
    <xf numFmtId="43" fontId="13" fillId="4" borderId="0" xfId="9" applyFont="1" applyFill="1"/>
    <xf numFmtId="0" fontId="0" fillId="0" borderId="0" xfId="0" applyAlignment="1">
      <alignment horizontal="center"/>
    </xf>
    <xf numFmtId="43" fontId="5" fillId="0" borderId="0" xfId="13" applyFont="1" applyAlignment="1">
      <alignment horizontal="center"/>
    </xf>
    <xf numFmtId="43" fontId="5" fillId="4" borderId="0" xfId="13" applyFont="1" applyFill="1" applyAlignment="1">
      <alignment horizontal="center"/>
    </xf>
    <xf numFmtId="168" fontId="5" fillId="0" borderId="0" xfId="13" applyNumberFormat="1" applyFont="1" applyAlignment="1">
      <alignment horizontal="center"/>
    </xf>
    <xf numFmtId="43" fontId="14" fillId="0" borderId="0" xfId="13" applyFont="1" applyFill="1" applyAlignment="1">
      <alignment horizontal="center"/>
    </xf>
    <xf numFmtId="43" fontId="14" fillId="4" borderId="34" xfId="13" applyFont="1" applyFill="1" applyBorder="1" applyAlignment="1">
      <alignment horizontal="center"/>
    </xf>
    <xf numFmtId="43" fontId="14" fillId="4" borderId="36" xfId="13" applyFont="1" applyFill="1" applyBorder="1" applyAlignment="1">
      <alignment horizontal="center"/>
    </xf>
    <xf numFmtId="43" fontId="14" fillId="4" borderId="38" xfId="13" applyFont="1" applyFill="1" applyBorder="1" applyAlignment="1">
      <alignment horizontal="center"/>
    </xf>
    <xf numFmtId="0" fontId="24" fillId="0" borderId="0" xfId="0" applyFont="1" applyAlignment="1">
      <alignment horizontal="center"/>
    </xf>
    <xf numFmtId="0" fontId="13" fillId="0" borderId="0" xfId="0" applyFont="1" applyAlignment="1">
      <alignment horizontal="center"/>
    </xf>
    <xf numFmtId="0" fontId="12" fillId="0" borderId="0" xfId="0" applyFont="1" applyAlignment="1">
      <alignment horizontal="center"/>
    </xf>
    <xf numFmtId="1" fontId="36" fillId="4" borderId="0" xfId="0" applyNumberFormat="1" applyFont="1" applyFill="1" applyAlignment="1" applyProtection="1">
      <alignment horizontal="center" vertical="center"/>
      <protection hidden="1"/>
    </xf>
    <xf numFmtId="1" fontId="30" fillId="4" borderId="0" xfId="9" applyNumberFormat="1" applyFont="1" applyFill="1" applyBorder="1" applyAlignment="1" applyProtection="1">
      <alignment horizontal="center" vertical="center"/>
      <protection hidden="1"/>
    </xf>
    <xf numFmtId="43" fontId="24" fillId="0" borderId="0" xfId="9" applyFont="1" applyAlignment="1" applyProtection="1">
      <alignment horizontal="right"/>
      <protection locked="0"/>
    </xf>
    <xf numFmtId="168" fontId="24" fillId="0" borderId="0" xfId="9" applyNumberFormat="1" applyFont="1" applyAlignment="1" applyProtection="1">
      <alignment horizontal="right"/>
      <protection locked="0"/>
    </xf>
    <xf numFmtId="0" fontId="37" fillId="0" borderId="16" xfId="0" applyFont="1" applyBorder="1" applyAlignment="1" applyProtection="1">
      <alignment horizontal="center" vertical="center"/>
      <protection locked="0"/>
    </xf>
    <xf numFmtId="0" fontId="37" fillId="0" borderId="0" xfId="0" applyFont="1" applyAlignment="1">
      <alignment horizontal="center" vertical="center"/>
    </xf>
    <xf numFmtId="0" fontId="37" fillId="0" borderId="20" xfId="0" applyFont="1" applyBorder="1" applyAlignment="1">
      <alignment horizontal="center" vertical="center"/>
    </xf>
    <xf numFmtId="0" fontId="13" fillId="0" borderId="1" xfId="0" applyFont="1" applyBorder="1" applyAlignment="1">
      <alignment horizontal="center"/>
    </xf>
    <xf numFmtId="43" fontId="13" fillId="0" borderId="0" xfId="13" applyFont="1" applyAlignment="1">
      <alignment horizontal="center"/>
    </xf>
    <xf numFmtId="43" fontId="13" fillId="0" borderId="0" xfId="13" applyFont="1" applyBorder="1" applyAlignment="1">
      <alignment horizontal="center"/>
    </xf>
    <xf numFmtId="0" fontId="25" fillId="0" borderId="0" xfId="0" applyFont="1" applyAlignment="1">
      <alignment horizontal="center"/>
    </xf>
    <xf numFmtId="43" fontId="29" fillId="3" borderId="27" xfId="13" applyFont="1" applyFill="1" applyBorder="1" applyAlignment="1">
      <alignment horizontal="center"/>
    </xf>
    <xf numFmtId="43" fontId="13" fillId="3" borderId="0" xfId="13" applyFont="1" applyFill="1" applyAlignment="1">
      <alignment horizontal="center"/>
    </xf>
    <xf numFmtId="43" fontId="13" fillId="3" borderId="7" xfId="13" applyFont="1" applyFill="1" applyBorder="1" applyAlignment="1">
      <alignment horizontal="center"/>
    </xf>
    <xf numFmtId="43" fontId="29" fillId="0" borderId="26" xfId="13" applyFont="1" applyBorder="1" applyAlignment="1">
      <alignment horizontal="center"/>
    </xf>
    <xf numFmtId="43" fontId="13" fillId="4" borderId="0" xfId="13" applyFont="1" applyFill="1" applyAlignment="1">
      <alignment horizontal="center"/>
    </xf>
    <xf numFmtId="43" fontId="13" fillId="0" borderId="0" xfId="9" applyFont="1" applyAlignment="1">
      <alignment horizontal="center"/>
    </xf>
    <xf numFmtId="0" fontId="13" fillId="4" borderId="0" xfId="0" applyFont="1" applyFill="1" applyAlignment="1">
      <alignment horizontal="center"/>
    </xf>
    <xf numFmtId="0" fontId="0" fillId="0" borderId="19" xfId="0" applyBorder="1"/>
    <xf numFmtId="168" fontId="0" fillId="0" borderId="0" xfId="9" applyNumberFormat="1" applyFont="1"/>
    <xf numFmtId="43" fontId="29" fillId="0" borderId="0" xfId="13" applyFont="1" applyBorder="1"/>
    <xf numFmtId="0" fontId="13" fillId="4" borderId="11" xfId="0" applyFont="1" applyFill="1" applyBorder="1" applyAlignment="1">
      <alignment horizontal="center"/>
    </xf>
    <xf numFmtId="0" fontId="13" fillId="4" borderId="12" xfId="0" applyFont="1" applyFill="1" applyBorder="1" applyAlignment="1">
      <alignment horizontal="center"/>
    </xf>
    <xf numFmtId="0" fontId="13" fillId="4" borderId="9" xfId="0" applyFont="1" applyFill="1" applyBorder="1" applyAlignment="1">
      <alignment horizontal="center"/>
    </xf>
    <xf numFmtId="43" fontId="29" fillId="4" borderId="27" xfId="13" applyFont="1" applyFill="1" applyBorder="1"/>
    <xf numFmtId="0" fontId="13" fillId="4" borderId="4" xfId="0" applyFont="1" applyFill="1" applyBorder="1" applyAlignment="1">
      <alignment horizontal="center"/>
    </xf>
    <xf numFmtId="43" fontId="29" fillId="0" borderId="28" xfId="13" applyFont="1" applyFill="1" applyBorder="1"/>
    <xf numFmtId="43" fontId="5" fillId="5" borderId="0" xfId="13" applyFont="1" applyFill="1"/>
    <xf numFmtId="43" fontId="13" fillId="5" borderId="0" xfId="13" applyFont="1" applyFill="1" applyBorder="1" applyAlignment="1">
      <alignment horizontal="center"/>
    </xf>
    <xf numFmtId="43" fontId="29" fillId="0" borderId="28" xfId="13" applyFont="1" applyBorder="1" applyAlignment="1">
      <alignment horizontal="center"/>
    </xf>
    <xf numFmtId="43" fontId="32" fillId="0" borderId="28" xfId="13" applyFont="1" applyBorder="1" applyAlignment="1">
      <alignment horizontal="center"/>
    </xf>
    <xf numFmtId="43" fontId="29" fillId="0" borderId="24" xfId="13" applyFont="1" applyBorder="1" applyAlignment="1">
      <alignment horizontal="center"/>
    </xf>
    <xf numFmtId="1" fontId="36" fillId="4" borderId="28" xfId="0" applyNumberFormat="1" applyFont="1" applyFill="1" applyBorder="1" applyAlignment="1" applyProtection="1">
      <alignment horizontal="center" vertical="center"/>
      <protection hidden="1"/>
    </xf>
    <xf numFmtId="168" fontId="13" fillId="0" borderId="0" xfId="9" applyNumberFormat="1" applyFont="1"/>
    <xf numFmtId="43" fontId="29" fillId="4" borderId="0" xfId="13" applyFont="1" applyFill="1" applyAlignment="1">
      <alignment horizontal="left"/>
    </xf>
    <xf numFmtId="0" fontId="38" fillId="0" borderId="0" xfId="14" applyAlignment="1">
      <alignment horizontal="left" vertical="center"/>
    </xf>
    <xf numFmtId="43" fontId="29" fillId="4" borderId="0" xfId="13" applyFont="1" applyFill="1" applyBorder="1"/>
    <xf numFmtId="43" fontId="32" fillId="4" borderId="0" xfId="13" applyFont="1" applyFill="1" applyAlignment="1">
      <alignment horizontal="left"/>
    </xf>
    <xf numFmtId="43" fontId="16" fillId="0" borderId="0" xfId="13" applyFont="1" applyFill="1"/>
    <xf numFmtId="49" fontId="29" fillId="0" borderId="22" xfId="13" applyNumberFormat="1" applyFont="1" applyBorder="1" applyAlignment="1">
      <alignment horizontal="center" vertical="center"/>
    </xf>
    <xf numFmtId="43" fontId="32" fillId="0" borderId="31" xfId="13" applyFont="1" applyBorder="1" applyAlignment="1">
      <alignment horizontal="center"/>
    </xf>
    <xf numFmtId="43" fontId="29" fillId="0" borderId="30" xfId="13" applyFont="1" applyBorder="1" applyAlignment="1">
      <alignment horizontal="center" wrapText="1"/>
    </xf>
    <xf numFmtId="0" fontId="0" fillId="0" borderId="0" xfId="0" applyAlignment="1">
      <alignment horizontal="left"/>
    </xf>
    <xf numFmtId="168" fontId="16" fillId="0" borderId="0" xfId="9" applyNumberFormat="1" applyFont="1"/>
    <xf numFmtId="0" fontId="37" fillId="0" borderId="1" xfId="0" applyFont="1" applyBorder="1" applyAlignment="1">
      <alignment horizontal="center" vertical="center"/>
    </xf>
    <xf numFmtId="0" fontId="14" fillId="4" borderId="0" xfId="0" applyFont="1" applyFill="1" applyAlignment="1">
      <alignment horizontal="center"/>
    </xf>
    <xf numFmtId="0" fontId="12" fillId="4" borderId="0" xfId="0" applyFont="1" applyFill="1" applyAlignment="1">
      <alignment horizontal="left"/>
    </xf>
    <xf numFmtId="43" fontId="16" fillId="3" borderId="5" xfId="13" applyFont="1" applyFill="1" applyBorder="1" applyAlignment="1">
      <alignment horizontal="center"/>
    </xf>
    <xf numFmtId="43" fontId="32" fillId="3" borderId="28" xfId="13" applyFont="1" applyFill="1" applyBorder="1" applyAlignment="1">
      <alignment horizontal="center"/>
    </xf>
    <xf numFmtId="49" fontId="11" fillId="4" borderId="0" xfId="0" applyNumberFormat="1" applyFont="1" applyFill="1" applyAlignment="1" applyProtection="1">
      <alignment horizontal="center" vertical="center"/>
      <protection locked="0"/>
    </xf>
    <xf numFmtId="0" fontId="37" fillId="0" borderId="0" xfId="0" applyFont="1" applyAlignment="1">
      <alignment vertical="center"/>
    </xf>
    <xf numFmtId="41" fontId="3" fillId="0" borderId="0" xfId="0" applyNumberFormat="1" applyFont="1"/>
    <xf numFmtId="0" fontId="21" fillId="0" borderId="0" xfId="0" applyFont="1"/>
    <xf numFmtId="0" fontId="0" fillId="0" borderId="0" xfId="0" applyProtection="1">
      <protection locked="0"/>
    </xf>
    <xf numFmtId="0" fontId="29" fillId="0" borderId="0" xfId="0" applyFont="1"/>
    <xf numFmtId="0" fontId="42" fillId="0" borderId="0" xfId="0" applyFont="1" applyAlignment="1">
      <alignment horizontal="center" vertical="center"/>
    </xf>
    <xf numFmtId="49" fontId="29" fillId="3" borderId="22" xfId="13" applyNumberFormat="1" applyFont="1" applyFill="1" applyBorder="1" applyAlignment="1">
      <alignment horizontal="center" vertical="center"/>
    </xf>
    <xf numFmtId="43" fontId="43" fillId="3" borderId="0" xfId="13" applyFont="1" applyFill="1" applyAlignment="1">
      <alignment horizontal="right"/>
    </xf>
    <xf numFmtId="0" fontId="39" fillId="0" borderId="0" xfId="0" applyFont="1"/>
    <xf numFmtId="0" fontId="40" fillId="0" borderId="0" xfId="0" applyFont="1"/>
    <xf numFmtId="43" fontId="13" fillId="0" borderId="0" xfId="13" applyFont="1" applyFill="1" applyAlignment="1">
      <alignment horizontal="center"/>
    </xf>
    <xf numFmtId="43" fontId="45" fillId="0" borderId="0" xfId="13" applyFont="1"/>
    <xf numFmtId="43" fontId="46" fillId="0" borderId="22" xfId="13" applyFont="1" applyBorder="1"/>
    <xf numFmtId="0" fontId="1" fillId="0" borderId="0" xfId="0" applyFont="1" applyAlignment="1">
      <alignment horizontal="center" vertical="center"/>
    </xf>
    <xf numFmtId="1" fontId="5" fillId="0" borderId="0" xfId="9" applyNumberFormat="1" applyFont="1" applyAlignment="1">
      <alignment horizontal="center"/>
    </xf>
    <xf numFmtId="43" fontId="5" fillId="0" borderId="0" xfId="13" applyFont="1" applyFill="1" applyAlignment="1">
      <alignment horizontal="center"/>
    </xf>
    <xf numFmtId="0" fontId="12" fillId="4" borderId="0" xfId="0" applyFont="1" applyFill="1" applyAlignment="1">
      <alignment horizontal="center"/>
    </xf>
    <xf numFmtId="43" fontId="0" fillId="0" borderId="0" xfId="0" applyNumberFormat="1"/>
    <xf numFmtId="43" fontId="14" fillId="0" borderId="0" xfId="0" applyNumberFormat="1" applyFont="1"/>
    <xf numFmtId="0" fontId="47" fillId="0" borderId="0" xfId="0" applyFont="1" applyAlignment="1">
      <alignment vertical="center"/>
    </xf>
    <xf numFmtId="0" fontId="11" fillId="0" borderId="0" xfId="0" applyFont="1" applyAlignment="1">
      <alignment vertical="center"/>
    </xf>
    <xf numFmtId="0" fontId="47" fillId="0" borderId="0" xfId="0" applyFont="1" applyAlignment="1">
      <alignment horizontal="left" vertical="center"/>
    </xf>
    <xf numFmtId="0" fontId="1" fillId="0" borderId="0" xfId="0" applyFont="1" applyAlignment="1">
      <alignment horizontal="left" vertical="center"/>
    </xf>
    <xf numFmtId="0" fontId="44" fillId="0" borderId="0" xfId="0" applyFont="1" applyAlignment="1">
      <alignment vertical="center" wrapText="1"/>
    </xf>
    <xf numFmtId="0" fontId="48" fillId="0" borderId="0" xfId="0" applyFont="1" applyAlignment="1">
      <alignment vertical="center"/>
    </xf>
    <xf numFmtId="0" fontId="44" fillId="0" borderId="0" xfId="0" applyFont="1" applyAlignment="1">
      <alignment horizontal="left" vertical="center" indent="1"/>
    </xf>
    <xf numFmtId="0" fontId="25" fillId="0" borderId="0" xfId="0" applyFont="1" applyAlignment="1">
      <alignment vertical="center" wrapText="1"/>
    </xf>
    <xf numFmtId="0" fontId="13" fillId="0" borderId="0" xfId="0" applyFont="1" applyAlignment="1">
      <alignment vertical="center"/>
    </xf>
    <xf numFmtId="43" fontId="0" fillId="0" borderId="0" xfId="9" applyFont="1" applyProtection="1">
      <protection locked="0"/>
    </xf>
    <xf numFmtId="0" fontId="13" fillId="0" borderId="0" xfId="0" applyFont="1" applyProtection="1">
      <protection locked="0"/>
    </xf>
    <xf numFmtId="41" fontId="11" fillId="0" borderId="0" xfId="0" applyNumberFormat="1" applyFont="1" applyAlignment="1">
      <alignment vertical="center"/>
    </xf>
    <xf numFmtId="17" fontId="13" fillId="0" borderId="0" xfId="0" applyNumberFormat="1" applyFont="1" applyAlignment="1">
      <alignment horizontal="center"/>
    </xf>
    <xf numFmtId="0" fontId="10" fillId="0" borderId="0" xfId="0" applyFont="1" applyAlignment="1">
      <alignment vertical="center"/>
    </xf>
    <xf numFmtId="0" fontId="11" fillId="0" borderId="0" xfId="0" applyFont="1" applyAlignment="1">
      <alignment vertical="center" wrapText="1"/>
    </xf>
    <xf numFmtId="0" fontId="16" fillId="0" borderId="0" xfId="0" applyFont="1" applyAlignment="1">
      <alignment vertical="center"/>
    </xf>
    <xf numFmtId="0" fontId="11" fillId="0" borderId="0" xfId="0" applyFont="1"/>
    <xf numFmtId="168" fontId="0" fillId="0" borderId="21" xfId="9" applyNumberFormat="1" applyFont="1" applyBorder="1"/>
    <xf numFmtId="168" fontId="0" fillId="0" borderId="20" xfId="9" applyNumberFormat="1" applyFont="1" applyBorder="1"/>
    <xf numFmtId="168" fontId="13" fillId="0" borderId="0" xfId="9" applyNumberFormat="1" applyFont="1" applyBorder="1"/>
    <xf numFmtId="168" fontId="0" fillId="0" borderId="0" xfId="0" applyNumberFormat="1"/>
    <xf numFmtId="168" fontId="0" fillId="3" borderId="26" xfId="9" applyNumberFormat="1" applyFont="1" applyFill="1" applyBorder="1"/>
    <xf numFmtId="168" fontId="0" fillId="3" borderId="28" xfId="9" applyNumberFormat="1" applyFont="1" applyFill="1" applyBorder="1"/>
    <xf numFmtId="168" fontId="13" fillId="0" borderId="0" xfId="9" applyNumberFormat="1" applyFont="1" applyAlignment="1">
      <alignment horizontal="center"/>
    </xf>
    <xf numFmtId="0" fontId="16" fillId="0" borderId="0" xfId="0" applyFont="1" applyAlignment="1">
      <alignment horizontal="center"/>
    </xf>
    <xf numFmtId="0" fontId="29" fillId="0" borderId="0" xfId="0" applyFont="1" applyAlignment="1">
      <alignment horizontal="center"/>
    </xf>
    <xf numFmtId="43" fontId="13" fillId="0" borderId="0" xfId="9" applyFont="1" applyAlignment="1">
      <alignment horizontal="right"/>
    </xf>
    <xf numFmtId="0" fontId="0" fillId="0" borderId="0" xfId="0" applyAlignment="1">
      <alignment horizontal="right"/>
    </xf>
    <xf numFmtId="0" fontId="32" fillId="0" borderId="0" xfId="0" applyFont="1"/>
    <xf numFmtId="43" fontId="13" fillId="0" borderId="0" xfId="0" applyNumberFormat="1" applyFont="1" applyAlignment="1">
      <alignment horizontal="center"/>
    </xf>
    <xf numFmtId="43" fontId="14" fillId="3" borderId="13" xfId="9" applyFont="1" applyFill="1" applyBorder="1" applyAlignment="1">
      <alignment horizontal="right"/>
    </xf>
    <xf numFmtId="0" fontId="13" fillId="0" borderId="0" xfId="0" applyFont="1" applyAlignment="1">
      <alignment wrapText="1"/>
    </xf>
    <xf numFmtId="0" fontId="13" fillId="0" borderId="0" xfId="0" applyFont="1" applyAlignment="1">
      <alignment horizontal="left"/>
    </xf>
    <xf numFmtId="43" fontId="16" fillId="0" borderId="0" xfId="9" applyFont="1"/>
    <xf numFmtId="0" fontId="38" fillId="0" borderId="0" xfId="14" applyAlignment="1">
      <alignment horizontal="left" vertical="center" wrapText="1"/>
    </xf>
    <xf numFmtId="43" fontId="40" fillId="0" borderId="0" xfId="13" applyFont="1"/>
    <xf numFmtId="43" fontId="40" fillId="0" borderId="0" xfId="13" applyFont="1" applyFill="1"/>
    <xf numFmtId="49" fontId="41" fillId="0" borderId="0" xfId="13" applyNumberFormat="1" applyFont="1" applyBorder="1" applyAlignment="1">
      <alignment horizontal="center" vertical="center"/>
    </xf>
    <xf numFmtId="43" fontId="40" fillId="0" borderId="0" xfId="13" applyFont="1" applyBorder="1"/>
    <xf numFmtId="43" fontId="40" fillId="0" borderId="29" xfId="13" applyFont="1" applyBorder="1"/>
    <xf numFmtId="43" fontId="40" fillId="0" borderId="30" xfId="13" applyFont="1" applyBorder="1"/>
    <xf numFmtId="43" fontId="39" fillId="0" borderId="28" xfId="13" applyFont="1" applyFill="1" applyBorder="1"/>
    <xf numFmtId="43" fontId="32" fillId="4" borderId="30" xfId="13" applyFont="1" applyFill="1" applyBorder="1" applyAlignment="1">
      <alignment horizontal="center"/>
    </xf>
    <xf numFmtId="43" fontId="16" fillId="0" borderId="34" xfId="13" applyFont="1" applyFill="1" applyBorder="1"/>
    <xf numFmtId="43" fontId="16" fillId="0" borderId="36" xfId="13" applyFont="1" applyFill="1" applyBorder="1"/>
    <xf numFmtId="43" fontId="54" fillId="0" borderId="30" xfId="13" applyFont="1" applyBorder="1"/>
    <xf numFmtId="43" fontId="32" fillId="7" borderId="28" xfId="13" applyFont="1" applyFill="1" applyBorder="1"/>
    <xf numFmtId="43" fontId="53" fillId="7" borderId="28" xfId="13" applyFont="1" applyFill="1" applyBorder="1"/>
    <xf numFmtId="4" fontId="52" fillId="8" borderId="28" xfId="14" applyNumberFormat="1" applyFont="1" applyFill="1" applyBorder="1" applyAlignment="1">
      <alignment horizontal="right" vertical="center" shrinkToFit="1"/>
    </xf>
    <xf numFmtId="43" fontId="32" fillId="0" borderId="29" xfId="13" applyFont="1" applyBorder="1" applyAlignment="1">
      <alignment horizontal="center"/>
    </xf>
    <xf numFmtId="43" fontId="52" fillId="8" borderId="28" xfId="9" applyFont="1" applyFill="1" applyBorder="1" applyAlignment="1">
      <alignment horizontal="right" vertical="center" shrinkToFit="1"/>
    </xf>
    <xf numFmtId="43" fontId="32" fillId="10" borderId="29" xfId="13" applyFont="1" applyFill="1" applyBorder="1" applyAlignment="1">
      <alignment horizontal="center"/>
    </xf>
    <xf numFmtId="43" fontId="32" fillId="10" borderId="31" xfId="13" applyFont="1" applyFill="1" applyBorder="1" applyAlignment="1">
      <alignment horizontal="center"/>
    </xf>
    <xf numFmtId="43" fontId="39" fillId="10" borderId="28" xfId="13" applyFont="1" applyFill="1" applyBorder="1"/>
    <xf numFmtId="43" fontId="55" fillId="3" borderId="28" xfId="13" applyFont="1" applyFill="1" applyBorder="1"/>
    <xf numFmtId="43" fontId="16" fillId="0" borderId="0" xfId="13" applyFont="1" applyAlignment="1">
      <alignment horizontal="center"/>
    </xf>
    <xf numFmtId="43" fontId="32" fillId="0" borderId="0" xfId="13" applyFont="1" applyFill="1"/>
    <xf numFmtId="43" fontId="32" fillId="0" borderId="30" xfId="13" applyFont="1" applyBorder="1" applyAlignment="1">
      <alignment horizontal="center"/>
    </xf>
    <xf numFmtId="43" fontId="16" fillId="0" borderId="0" xfId="13" applyFont="1" applyFill="1" applyAlignment="1">
      <alignment horizontal="center"/>
    </xf>
    <xf numFmtId="43" fontId="14" fillId="4" borderId="0" xfId="13" applyFont="1" applyFill="1" applyAlignment="1">
      <alignment horizontal="left"/>
    </xf>
    <xf numFmtId="1" fontId="50" fillId="0" borderId="0" xfId="14" applyNumberFormat="1" applyFont="1" applyAlignment="1">
      <alignment horizontal="left" vertical="top" shrinkToFit="1"/>
    </xf>
    <xf numFmtId="43" fontId="16" fillId="0" borderId="30" xfId="13" applyFont="1" applyFill="1" applyBorder="1"/>
    <xf numFmtId="43" fontId="56" fillId="0" borderId="30" xfId="13" applyFont="1" applyFill="1" applyBorder="1"/>
    <xf numFmtId="43" fontId="13" fillId="0" borderId="30" xfId="13" applyFont="1" applyBorder="1"/>
    <xf numFmtId="43" fontId="57" fillId="0" borderId="30" xfId="13" applyFont="1" applyBorder="1"/>
    <xf numFmtId="43" fontId="5" fillId="0" borderId="0" xfId="13" applyFont="1" applyAlignment="1">
      <alignment horizontal="center" vertical="center"/>
    </xf>
    <xf numFmtId="43" fontId="5" fillId="0" borderId="37" xfId="13" applyFont="1" applyBorder="1" applyAlignment="1">
      <alignment vertical="center"/>
    </xf>
    <xf numFmtId="43" fontId="5" fillId="0" borderId="0" xfId="13" applyFont="1" applyAlignment="1">
      <alignment vertical="center"/>
    </xf>
    <xf numFmtId="43" fontId="54" fillId="0" borderId="30" xfId="13" applyFont="1" applyBorder="1" applyAlignment="1">
      <alignment vertical="center"/>
    </xf>
    <xf numFmtId="43" fontId="5" fillId="0" borderId="0" xfId="13" applyFont="1" applyFill="1" applyAlignment="1">
      <alignment vertical="center"/>
    </xf>
    <xf numFmtId="43" fontId="14" fillId="0" borderId="28" xfId="13" applyFont="1" applyFill="1" applyBorder="1" applyAlignment="1">
      <alignment horizontal="right"/>
    </xf>
    <xf numFmtId="4" fontId="51" fillId="0" borderId="26" xfId="14" applyNumberFormat="1" applyFont="1" applyBorder="1" applyAlignment="1">
      <alignment horizontal="right" vertical="center" shrinkToFit="1"/>
    </xf>
    <xf numFmtId="43" fontId="13" fillId="0" borderId="29" xfId="13" applyFont="1" applyBorder="1"/>
    <xf numFmtId="43" fontId="13" fillId="0" borderId="31" xfId="13" applyFont="1" applyBorder="1"/>
    <xf numFmtId="43" fontId="32" fillId="0" borderId="35" xfId="13" applyFont="1" applyBorder="1" applyAlignment="1">
      <alignment horizontal="center"/>
    </xf>
    <xf numFmtId="43" fontId="32" fillId="0" borderId="40" xfId="13" applyFont="1" applyBorder="1" applyAlignment="1">
      <alignment horizontal="center"/>
    </xf>
    <xf numFmtId="43" fontId="41" fillId="0" borderId="28" xfId="13" applyFont="1" applyFill="1" applyBorder="1"/>
    <xf numFmtId="0" fontId="12" fillId="0" borderId="0" xfId="0" applyFont="1" applyAlignment="1">
      <alignment horizontal="left" vertical="center"/>
    </xf>
    <xf numFmtId="168" fontId="13" fillId="0" borderId="0" xfId="0" applyNumberFormat="1" applyFont="1" applyAlignment="1">
      <alignment horizontal="center"/>
    </xf>
    <xf numFmtId="0" fontId="14" fillId="0" borderId="0" xfId="0" applyFont="1" applyAlignment="1">
      <alignment horizontal="right"/>
    </xf>
    <xf numFmtId="168" fontId="29" fillId="0" borderId="0" xfId="0" applyNumberFormat="1" applyFont="1" applyAlignment="1">
      <alignment horizontal="center"/>
    </xf>
    <xf numFmtId="168" fontId="13" fillId="0" borderId="0" xfId="9" applyNumberFormat="1" applyFont="1" applyBorder="1" applyAlignment="1">
      <alignment horizontal="center"/>
    </xf>
    <xf numFmtId="168" fontId="29" fillId="0" borderId="28" xfId="0" applyNumberFormat="1" applyFont="1" applyBorder="1" applyAlignment="1">
      <alignment horizontal="center"/>
    </xf>
    <xf numFmtId="0" fontId="15" fillId="0" borderId="0" xfId="0" applyFont="1" applyAlignment="1">
      <alignment horizontal="center" vertical="center"/>
    </xf>
    <xf numFmtId="43" fontId="13" fillId="4" borderId="0" xfId="9" applyFont="1" applyFill="1" applyAlignment="1">
      <alignment horizontal="center"/>
    </xf>
    <xf numFmtId="0" fontId="11" fillId="0" borderId="0" xfId="0" applyFont="1" applyAlignment="1">
      <alignment horizontal="center" vertical="center"/>
    </xf>
    <xf numFmtId="0" fontId="35" fillId="0" borderId="0" xfId="0" applyFont="1" applyAlignment="1">
      <alignment horizontal="left"/>
    </xf>
    <xf numFmtId="168" fontId="13" fillId="4" borderId="0" xfId="9" applyNumberFormat="1" applyFont="1" applyFill="1"/>
    <xf numFmtId="0" fontId="8" fillId="4" borderId="0" xfId="0" applyFont="1" applyFill="1" applyAlignment="1">
      <alignment horizontal="center" vertical="center"/>
    </xf>
    <xf numFmtId="43" fontId="12" fillId="0" borderId="0" xfId="9" applyFont="1" applyAlignment="1">
      <alignment horizontal="center" vertical="center"/>
    </xf>
    <xf numFmtId="43" fontId="39" fillId="0" borderId="0" xfId="9" applyFont="1"/>
    <xf numFmtId="168" fontId="16" fillId="0" borderId="0" xfId="9" applyNumberFormat="1" applyFont="1" applyFill="1"/>
    <xf numFmtId="0" fontId="29" fillId="0" borderId="14" xfId="0" applyFont="1" applyBorder="1"/>
    <xf numFmtId="0" fontId="29" fillId="0" borderId="18" xfId="0" applyFont="1" applyBorder="1"/>
    <xf numFmtId="0" fontId="58" fillId="0" borderId="0" xfId="0" applyFont="1" applyAlignment="1" applyProtection="1">
      <alignment horizontal="center"/>
      <protection locked="0"/>
    </xf>
    <xf numFmtId="0" fontId="8" fillId="0" borderId="0" xfId="0" applyFont="1" applyAlignment="1" applyProtection="1">
      <alignment vertical="center"/>
      <protection locked="0"/>
    </xf>
    <xf numFmtId="168" fontId="11" fillId="0" borderId="0" xfId="9" applyNumberFormat="1" applyFont="1" applyFill="1" applyAlignment="1" applyProtection="1">
      <alignment vertical="center"/>
      <protection locked="0"/>
    </xf>
    <xf numFmtId="0" fontId="58" fillId="0" borderId="0" xfId="0" applyFont="1" applyAlignment="1">
      <alignment horizontal="center"/>
    </xf>
    <xf numFmtId="168" fontId="24" fillId="0" borderId="0" xfId="9" applyNumberFormat="1" applyFont="1" applyAlignment="1" applyProtection="1">
      <alignment horizontal="left"/>
      <protection locked="0"/>
    </xf>
    <xf numFmtId="0" fontId="14" fillId="0" borderId="0" xfId="0" applyFont="1" applyAlignment="1" applyProtection="1">
      <alignment horizontal="left"/>
      <protection locked="0"/>
    </xf>
    <xf numFmtId="0" fontId="29" fillId="0" borderId="0" xfId="0" applyFont="1" applyProtection="1">
      <protection locked="0"/>
    </xf>
    <xf numFmtId="0" fontId="58" fillId="4" borderId="0" xfId="0" applyFont="1" applyFill="1" applyAlignment="1" applyProtection="1">
      <alignment horizontal="center"/>
      <protection locked="0"/>
    </xf>
    <xf numFmtId="0" fontId="15" fillId="4" borderId="0" xfId="0" applyFont="1" applyFill="1"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xf>
    <xf numFmtId="43" fontId="16" fillId="0" borderId="29" xfId="13" applyFont="1" applyFill="1" applyBorder="1"/>
    <xf numFmtId="43" fontId="16" fillId="0" borderId="28" xfId="13" applyFont="1" applyFill="1" applyBorder="1"/>
    <xf numFmtId="43" fontId="16" fillId="0" borderId="22" xfId="13" applyFont="1" applyFill="1" applyBorder="1"/>
    <xf numFmtId="43" fontId="16" fillId="0" borderId="24" xfId="13" applyFont="1" applyFill="1" applyBorder="1"/>
    <xf numFmtId="43" fontId="16" fillId="0" borderId="39" xfId="13" applyFont="1" applyBorder="1"/>
    <xf numFmtId="168" fontId="32" fillId="3" borderId="13" xfId="9" applyNumberFormat="1" applyFont="1" applyFill="1" applyBorder="1"/>
    <xf numFmtId="0" fontId="12" fillId="0" borderId="0" xfId="0" applyFont="1" applyAlignment="1">
      <alignment horizontal="left" vertical="top" wrapText="1"/>
    </xf>
    <xf numFmtId="41" fontId="13" fillId="0" borderId="0" xfId="0" applyNumberFormat="1" applyFont="1" applyAlignment="1">
      <alignment vertical="center"/>
    </xf>
    <xf numFmtId="0" fontId="24" fillId="0" borderId="0" xfId="0" applyFont="1" applyAlignment="1">
      <alignment horizontal="left" vertical="center" wrapText="1"/>
    </xf>
    <xf numFmtId="43" fontId="0" fillId="0" borderId="0" xfId="0" applyNumberFormat="1" applyAlignment="1">
      <alignment vertical="center"/>
    </xf>
    <xf numFmtId="43" fontId="14" fillId="0" borderId="0" xfId="9" applyFont="1"/>
    <xf numFmtId="43" fontId="0" fillId="0" borderId="0" xfId="9" applyFont="1" applyAlignment="1">
      <alignment vertical="center"/>
    </xf>
    <xf numFmtId="43" fontId="13" fillId="0" borderId="20" xfId="9" applyFont="1" applyBorder="1" applyAlignment="1">
      <alignment horizontal="center"/>
    </xf>
    <xf numFmtId="43" fontId="14" fillId="0" borderId="0" xfId="9" applyFont="1" applyAlignment="1">
      <alignment vertical="center"/>
    </xf>
    <xf numFmtId="0" fontId="0" fillId="0" borderId="0" xfId="0" applyAlignment="1" applyProtection="1">
      <alignment horizontal="left"/>
      <protection locked="0"/>
    </xf>
    <xf numFmtId="43" fontId="16" fillId="0" borderId="0" xfId="9" applyFont="1" applyAlignment="1">
      <alignment horizontal="center"/>
    </xf>
    <xf numFmtId="43" fontId="32" fillId="0" borderId="0" xfId="9" applyFont="1" applyAlignment="1">
      <alignment horizontal="center"/>
    </xf>
    <xf numFmtId="168" fontId="16" fillId="0" borderId="0" xfId="9" applyNumberFormat="1" applyFont="1" applyBorder="1"/>
    <xf numFmtId="49" fontId="32" fillId="0" borderId="0" xfId="0" applyNumberFormat="1" applyFont="1" applyAlignment="1" applyProtection="1">
      <alignment horizontal="center" vertical="center"/>
      <protection locked="0"/>
    </xf>
    <xf numFmtId="43" fontId="14" fillId="0" borderId="0" xfId="9" applyFont="1" applyAlignment="1">
      <alignment horizontal="center"/>
    </xf>
    <xf numFmtId="43" fontId="29" fillId="0" borderId="0" xfId="9" applyFont="1" applyAlignment="1">
      <alignment horizontal="center"/>
    </xf>
    <xf numFmtId="43" fontId="13" fillId="0" borderId="0" xfId="0" applyNumberFormat="1" applyFont="1"/>
    <xf numFmtId="43" fontId="13" fillId="0" borderId="0" xfId="13" applyFont="1" applyAlignment="1">
      <alignment horizontal="right"/>
    </xf>
    <xf numFmtId="43" fontId="13" fillId="0" borderId="13" xfId="13" applyFont="1" applyBorder="1"/>
    <xf numFmtId="43" fontId="13" fillId="0" borderId="20" xfId="13" applyFont="1" applyBorder="1"/>
    <xf numFmtId="43" fontId="14" fillId="4" borderId="28" xfId="13" applyFont="1" applyFill="1" applyBorder="1"/>
    <xf numFmtId="43" fontId="14" fillId="3" borderId="43" xfId="13" applyFont="1" applyFill="1" applyBorder="1"/>
    <xf numFmtId="43" fontId="14" fillId="3" borderId="44" xfId="13" applyFont="1" applyFill="1" applyBorder="1"/>
    <xf numFmtId="43" fontId="29" fillId="3" borderId="28" xfId="13" applyFont="1" applyFill="1" applyBorder="1" applyAlignment="1">
      <alignment horizontal="center"/>
    </xf>
    <xf numFmtId="43" fontId="13" fillId="3" borderId="29" xfId="13" applyFont="1" applyFill="1" applyBorder="1"/>
    <xf numFmtId="43" fontId="13" fillId="3" borderId="30" xfId="13" applyFont="1" applyFill="1" applyBorder="1"/>
    <xf numFmtId="43" fontId="13" fillId="3" borderId="31" xfId="13" applyFont="1" applyFill="1" applyBorder="1"/>
    <xf numFmtId="43" fontId="29" fillId="3" borderId="25" xfId="13" applyFont="1" applyFill="1" applyBorder="1"/>
    <xf numFmtId="43" fontId="14" fillId="3" borderId="45" xfId="13" applyFont="1" applyFill="1" applyBorder="1"/>
    <xf numFmtId="43" fontId="14" fillId="3" borderId="21" xfId="13" applyFont="1" applyFill="1" applyBorder="1"/>
    <xf numFmtId="43" fontId="29" fillId="3" borderId="46" xfId="13" applyFont="1" applyFill="1" applyBorder="1"/>
    <xf numFmtId="43" fontId="14" fillId="3" borderId="43" xfId="13" applyFont="1" applyFill="1" applyBorder="1" applyAlignment="1">
      <alignment horizontal="right"/>
    </xf>
    <xf numFmtId="43" fontId="14" fillId="3" borderId="47" xfId="13" applyFont="1" applyFill="1" applyBorder="1"/>
    <xf numFmtId="43" fontId="14" fillId="6" borderId="44" xfId="13" applyFont="1" applyFill="1" applyBorder="1"/>
    <xf numFmtId="43" fontId="14" fillId="6" borderId="48" xfId="13" applyFont="1" applyFill="1" applyBorder="1"/>
    <xf numFmtId="43" fontId="32" fillId="0" borderId="34" xfId="13" applyFont="1" applyFill="1" applyBorder="1" applyAlignment="1">
      <alignment horizontal="left"/>
    </xf>
    <xf numFmtId="43" fontId="16" fillId="0" borderId="32" xfId="13" applyFont="1" applyFill="1" applyBorder="1"/>
    <xf numFmtId="43" fontId="32" fillId="0" borderId="35" xfId="13" applyFont="1" applyFill="1" applyBorder="1"/>
    <xf numFmtId="43" fontId="29" fillId="0" borderId="39" xfId="13" applyFont="1" applyFill="1" applyBorder="1" applyAlignment="1">
      <alignment horizontal="left"/>
    </xf>
    <xf numFmtId="43" fontId="32" fillId="0" borderId="40" xfId="13" applyFont="1" applyFill="1" applyBorder="1"/>
    <xf numFmtId="43" fontId="16" fillId="0" borderId="28" xfId="13" applyFont="1" applyFill="1" applyBorder="1" applyAlignment="1">
      <alignment horizontal="center"/>
    </xf>
    <xf numFmtId="43" fontId="14" fillId="4" borderId="49" xfId="13" applyFont="1" applyFill="1" applyBorder="1"/>
    <xf numFmtId="43" fontId="29" fillId="0" borderId="28" xfId="0" applyNumberFormat="1" applyFont="1" applyBorder="1" applyAlignment="1">
      <alignment horizontal="right"/>
    </xf>
    <xf numFmtId="43" fontId="29" fillId="10" borderId="29" xfId="9" applyFont="1" applyFill="1" applyBorder="1" applyAlignment="1">
      <alignment horizontal="center"/>
    </xf>
    <xf numFmtId="43" fontId="29" fillId="10" borderId="31" xfId="0" applyNumberFormat="1" applyFont="1" applyFill="1" applyBorder="1" applyAlignment="1">
      <alignment horizontal="center"/>
    </xf>
    <xf numFmtId="43" fontId="14" fillId="0" borderId="28" xfId="13" applyFont="1" applyBorder="1"/>
    <xf numFmtId="43" fontId="29" fillId="4" borderId="0" xfId="0" applyNumberFormat="1" applyFont="1" applyFill="1"/>
    <xf numFmtId="43" fontId="29" fillId="10" borderId="28" xfId="13" applyFont="1" applyFill="1" applyBorder="1"/>
    <xf numFmtId="43" fontId="5" fillId="11" borderId="29" xfId="13" applyFont="1" applyFill="1" applyBorder="1"/>
    <xf numFmtId="43" fontId="5" fillId="11" borderId="0" xfId="13" applyFont="1" applyFill="1"/>
    <xf numFmtId="43" fontId="54" fillId="11" borderId="30" xfId="13" applyFont="1" applyFill="1" applyBorder="1"/>
    <xf numFmtId="43" fontId="5" fillId="11" borderId="30" xfId="13" applyFont="1" applyFill="1" applyBorder="1"/>
    <xf numFmtId="43" fontId="13" fillId="11" borderId="30" xfId="13" applyFont="1" applyFill="1" applyBorder="1"/>
    <xf numFmtId="43" fontId="5" fillId="11" borderId="30" xfId="13" applyFont="1" applyFill="1" applyBorder="1" applyAlignment="1">
      <alignment vertical="center"/>
    </xf>
    <xf numFmtId="43" fontId="5" fillId="11" borderId="0" xfId="13" applyFont="1" applyFill="1" applyAlignment="1">
      <alignment vertical="center"/>
    </xf>
    <xf numFmtId="43" fontId="54" fillId="11" borderId="30" xfId="13" applyFont="1" applyFill="1" applyBorder="1" applyAlignment="1">
      <alignment vertical="center"/>
    </xf>
    <xf numFmtId="43" fontId="16" fillId="11" borderId="30" xfId="13" applyFont="1" applyFill="1" applyBorder="1"/>
    <xf numFmtId="43" fontId="16" fillId="11" borderId="0" xfId="13" applyFont="1" applyFill="1"/>
    <xf numFmtId="43" fontId="56" fillId="11" borderId="30" xfId="13" applyFont="1" applyFill="1" applyBorder="1"/>
    <xf numFmtId="43" fontId="16" fillId="0" borderId="29" xfId="0" applyNumberFormat="1" applyFont="1" applyBorder="1" applyAlignment="1">
      <alignment horizontal="center"/>
    </xf>
    <xf numFmtId="0" fontId="16" fillId="0" borderId="30" xfId="0" applyFont="1" applyBorder="1" applyAlignment="1">
      <alignment horizontal="center"/>
    </xf>
    <xf numFmtId="43" fontId="16" fillId="4" borderId="0" xfId="13" applyFont="1" applyFill="1" applyAlignment="1">
      <alignment horizontal="center"/>
    </xf>
    <xf numFmtId="43" fontId="16" fillId="0" borderId="31" xfId="13" applyFont="1" applyFill="1" applyBorder="1"/>
    <xf numFmtId="43" fontId="16" fillId="0" borderId="31" xfId="0" applyNumberFormat="1" applyFont="1" applyBorder="1" applyAlignment="1">
      <alignment horizontal="right"/>
    </xf>
    <xf numFmtId="43" fontId="61" fillId="8" borderId="28" xfId="9" applyFont="1" applyFill="1" applyBorder="1" applyAlignment="1">
      <alignment horizontal="right" vertical="center" shrinkToFit="1"/>
    </xf>
    <xf numFmtId="0" fontId="16" fillId="0" borderId="0" xfId="0" applyFont="1" applyAlignment="1">
      <alignment horizontal="left"/>
    </xf>
    <xf numFmtId="43" fontId="16" fillId="0" borderId="29" xfId="13" applyFont="1" applyBorder="1"/>
    <xf numFmtId="43" fontId="16" fillId="0" borderId="38" xfId="13" applyFont="1" applyFill="1" applyBorder="1"/>
    <xf numFmtId="43" fontId="24" fillId="0" borderId="4" xfId="0" applyNumberFormat="1" applyFont="1" applyBorder="1"/>
    <xf numFmtId="0" fontId="24" fillId="0" borderId="4" xfId="0" applyFont="1" applyBorder="1"/>
    <xf numFmtId="43" fontId="14" fillId="11" borderId="28" xfId="13" applyFont="1" applyFill="1" applyBorder="1"/>
    <xf numFmtId="43" fontId="29" fillId="11" borderId="28" xfId="13" applyFont="1" applyFill="1" applyBorder="1"/>
    <xf numFmtId="0" fontId="29" fillId="0" borderId="0" xfId="0" applyFont="1" applyAlignment="1">
      <alignment wrapText="1"/>
    </xf>
    <xf numFmtId="0" fontId="29" fillId="0" borderId="17" xfId="0" applyFont="1" applyBorder="1"/>
    <xf numFmtId="43" fontId="32" fillId="0" borderId="0" xfId="13" applyFont="1" applyAlignment="1">
      <alignment horizontal="center"/>
    </xf>
    <xf numFmtId="0" fontId="12" fillId="0" borderId="0" xfId="0" applyFont="1" applyAlignment="1">
      <alignment horizontal="center" vertical="center"/>
    </xf>
    <xf numFmtId="168" fontId="62" fillId="0" borderId="0" xfId="9" applyNumberFormat="1" applyFont="1" applyAlignment="1">
      <alignment horizontal="center"/>
    </xf>
    <xf numFmtId="43" fontId="62" fillId="0" borderId="0" xfId="9" applyFont="1" applyAlignment="1">
      <alignment horizontal="center"/>
    </xf>
    <xf numFmtId="17" fontId="32" fillId="0" borderId="0" xfId="0" applyNumberFormat="1" applyFont="1" applyAlignment="1">
      <alignment horizontal="left"/>
    </xf>
    <xf numFmtId="17" fontId="16" fillId="0" borderId="0" xfId="0" applyNumberFormat="1" applyFont="1" applyAlignment="1">
      <alignment horizontal="left"/>
    </xf>
    <xf numFmtId="17" fontId="16" fillId="0" borderId="0" xfId="0" applyNumberFormat="1" applyFont="1" applyAlignment="1">
      <alignment horizontal="left" wrapText="1"/>
    </xf>
    <xf numFmtId="0" fontId="29" fillId="4" borderId="0" xfId="0" applyFont="1" applyFill="1" applyAlignment="1">
      <alignment horizontal="left"/>
    </xf>
    <xf numFmtId="41" fontId="0" fillId="0" borderId="0" xfId="0" applyNumberFormat="1" applyAlignment="1">
      <alignment vertical="center"/>
    </xf>
    <xf numFmtId="43" fontId="13" fillId="0" borderId="0" xfId="9" applyFont="1" applyProtection="1">
      <protection locked="0"/>
    </xf>
    <xf numFmtId="43" fontId="0" fillId="4" borderId="0" xfId="9" applyFont="1" applyFill="1"/>
    <xf numFmtId="43" fontId="14" fillId="4" borderId="0" xfId="0" applyNumberFormat="1" applyFont="1" applyFill="1"/>
    <xf numFmtId="43" fontId="14" fillId="11" borderId="0" xfId="13" applyFont="1" applyFill="1" applyBorder="1"/>
    <xf numFmtId="41" fontId="13" fillId="0" borderId="0" xfId="0" applyNumberFormat="1" applyFont="1" applyAlignment="1">
      <alignment horizontal="center"/>
    </xf>
    <xf numFmtId="43" fontId="24" fillId="0" borderId="0" xfId="9" applyFont="1"/>
    <xf numFmtId="43" fontId="13" fillId="4" borderId="21" xfId="9" applyFont="1" applyFill="1" applyBorder="1"/>
    <xf numFmtId="43" fontId="14" fillId="0" borderId="22" xfId="0" applyNumberFormat="1" applyFont="1" applyBorder="1"/>
    <xf numFmtId="43" fontId="0" fillId="0" borderId="22" xfId="9" applyFont="1" applyBorder="1"/>
    <xf numFmtId="17" fontId="29" fillId="0" borderId="0" xfId="0" applyNumberFormat="1" applyFont="1" applyAlignment="1">
      <alignment horizontal="center"/>
    </xf>
    <xf numFmtId="43" fontId="13" fillId="0" borderId="37" xfId="13" applyFont="1" applyFill="1" applyBorder="1"/>
    <xf numFmtId="43" fontId="13" fillId="0" borderId="40" xfId="13" applyFont="1" applyFill="1" applyBorder="1"/>
    <xf numFmtId="43" fontId="13" fillId="0" borderId="30" xfId="13" applyFont="1" applyFill="1" applyBorder="1"/>
    <xf numFmtId="43" fontId="13" fillId="3" borderId="4" xfId="13" applyFont="1" applyFill="1" applyBorder="1"/>
    <xf numFmtId="43" fontId="29" fillId="3" borderId="42" xfId="13" applyFont="1" applyFill="1" applyBorder="1"/>
    <xf numFmtId="43" fontId="13" fillId="0" borderId="0" xfId="13" applyFont="1" applyFill="1"/>
    <xf numFmtId="168" fontId="16" fillId="0" borderId="20" xfId="9" applyNumberFormat="1" applyFont="1" applyBorder="1"/>
    <xf numFmtId="168" fontId="16" fillId="0" borderId="16" xfId="9" applyNumberFormat="1" applyFont="1" applyFill="1" applyBorder="1"/>
    <xf numFmtId="0" fontId="14" fillId="0" borderId="0" xfId="0" applyFont="1" applyAlignment="1">
      <alignment vertical="center"/>
    </xf>
    <xf numFmtId="1" fontId="49" fillId="0" borderId="0" xfId="0" applyNumberFormat="1" applyFont="1" applyAlignment="1" applyProtection="1">
      <alignment horizontal="left" vertical="center"/>
      <protection locked="0"/>
    </xf>
    <xf numFmtId="1" fontId="0" fillId="0" borderId="0" xfId="0" applyNumberFormat="1"/>
    <xf numFmtId="0" fontId="29" fillId="0" borderId="17" xfId="0" applyFont="1" applyBorder="1" applyAlignment="1" applyProtection="1">
      <alignment vertical="center"/>
      <protection locked="0"/>
    </xf>
    <xf numFmtId="0" fontId="14" fillId="0" borderId="17" xfId="0" applyFont="1" applyBorder="1" applyAlignment="1">
      <alignment vertical="center"/>
    </xf>
    <xf numFmtId="0" fontId="14" fillId="0" borderId="15" xfId="0" applyFont="1" applyBorder="1" applyAlignment="1">
      <alignment vertical="center"/>
    </xf>
    <xf numFmtId="0" fontId="0" fillId="0" borderId="18" xfId="0" applyBorder="1"/>
    <xf numFmtId="0" fontId="29" fillId="0" borderId="18" xfId="0" applyFont="1" applyBorder="1" applyAlignment="1">
      <alignment vertical="center"/>
    </xf>
    <xf numFmtId="0" fontId="0" fillId="0" borderId="1" xfId="0" applyBorder="1"/>
    <xf numFmtId="1" fontId="30" fillId="0" borderId="4" xfId="0" applyNumberFormat="1" applyFont="1" applyBorder="1" applyAlignment="1" applyProtection="1">
      <alignment horizontal="center" vertical="center"/>
      <protection locked="0"/>
    </xf>
    <xf numFmtId="1" fontId="30" fillId="0" borderId="0" xfId="0" applyNumberFormat="1" applyFont="1" applyAlignment="1" applyProtection="1">
      <alignment horizontal="center" vertical="center"/>
      <protection locked="0"/>
    </xf>
    <xf numFmtId="168" fontId="32" fillId="0" borderId="0" xfId="9" applyNumberFormat="1" applyFont="1" applyFill="1" applyBorder="1" applyAlignment="1" applyProtection="1">
      <alignment horizontal="center" vertical="top" wrapText="1"/>
      <protection hidden="1"/>
    </xf>
    <xf numFmtId="41" fontId="0" fillId="4" borderId="0" xfId="0" applyNumberFormat="1" applyFill="1" applyAlignment="1">
      <alignment vertical="center"/>
    </xf>
    <xf numFmtId="41" fontId="16" fillId="0" borderId="0" xfId="0" applyNumberFormat="1" applyFont="1" applyAlignment="1">
      <alignment vertical="center"/>
    </xf>
    <xf numFmtId="1" fontId="30" fillId="4" borderId="0" xfId="0" applyNumberFormat="1" applyFont="1" applyFill="1" applyAlignment="1" applyProtection="1">
      <alignment horizontal="center" vertical="center"/>
      <protection hidden="1"/>
    </xf>
    <xf numFmtId="1" fontId="30" fillId="4" borderId="24" xfId="0" applyNumberFormat="1" applyFont="1" applyFill="1" applyBorder="1" applyAlignment="1" applyProtection="1">
      <alignment horizontal="center" vertical="center"/>
      <protection hidden="1"/>
    </xf>
    <xf numFmtId="43" fontId="0" fillId="0" borderId="0" xfId="13" applyFont="1" applyAlignment="1">
      <alignment horizontal="center"/>
    </xf>
    <xf numFmtId="43" fontId="0" fillId="0" borderId="0" xfId="13" applyFont="1" applyFill="1"/>
    <xf numFmtId="1" fontId="30" fillId="4" borderId="26" xfId="0" applyNumberFormat="1" applyFont="1" applyFill="1" applyBorder="1" applyAlignment="1" applyProtection="1">
      <alignment horizontal="center" vertical="center"/>
      <protection hidden="1"/>
    </xf>
    <xf numFmtId="43" fontId="0" fillId="0" borderId="29" xfId="13" applyFont="1" applyBorder="1"/>
    <xf numFmtId="43" fontId="0" fillId="0" borderId="30" xfId="13" applyFont="1" applyBorder="1"/>
    <xf numFmtId="43" fontId="0" fillId="3" borderId="0" xfId="13" applyFont="1" applyFill="1"/>
    <xf numFmtId="43" fontId="0" fillId="3" borderId="3" xfId="13" applyFont="1" applyFill="1" applyBorder="1"/>
    <xf numFmtId="43" fontId="0" fillId="3" borderId="4" xfId="13" applyFont="1" applyFill="1" applyBorder="1"/>
    <xf numFmtId="43" fontId="0" fillId="3" borderId="10" xfId="13" applyFont="1" applyFill="1" applyBorder="1"/>
    <xf numFmtId="43" fontId="0" fillId="6" borderId="10" xfId="13" applyFont="1" applyFill="1" applyBorder="1"/>
    <xf numFmtId="43" fontId="0" fillId="6" borderId="4" xfId="13" applyFont="1" applyFill="1" applyBorder="1"/>
    <xf numFmtId="43" fontId="0" fillId="3" borderId="19" xfId="13" applyFont="1" applyFill="1" applyBorder="1"/>
    <xf numFmtId="43" fontId="0" fillId="6" borderId="19" xfId="13" applyFont="1" applyFill="1" applyBorder="1"/>
    <xf numFmtId="43" fontId="0" fillId="0" borderId="0" xfId="13" applyFont="1" applyAlignment="1">
      <alignment horizontal="left"/>
    </xf>
    <xf numFmtId="168" fontId="0" fillId="4" borderId="0" xfId="0" applyNumberFormat="1" applyFill="1"/>
    <xf numFmtId="0" fontId="16" fillId="0" borderId="0" xfId="1" applyFont="1" applyAlignment="1" applyProtection="1">
      <alignment vertical="center"/>
      <protection locked="0"/>
    </xf>
    <xf numFmtId="168" fontId="0" fillId="3" borderId="0" xfId="0" applyNumberFormat="1" applyFill="1"/>
    <xf numFmtId="41" fontId="13" fillId="0" borderId="0" xfId="0" applyNumberFormat="1" applyFont="1" applyAlignment="1" applyProtection="1">
      <alignment vertical="center"/>
      <protection locked="0"/>
    </xf>
    <xf numFmtId="41" fontId="16" fillId="0" borderId="0" xfId="0" applyNumberFormat="1" applyFont="1" applyAlignment="1" applyProtection="1">
      <alignment vertical="center"/>
      <protection locked="0"/>
    </xf>
    <xf numFmtId="0" fontId="35" fillId="0" borderId="0" xfId="0" applyFont="1" applyAlignment="1">
      <alignment horizontal="center"/>
    </xf>
    <xf numFmtId="0" fontId="14" fillId="0" borderId="16" xfId="0" applyFont="1" applyBorder="1" applyAlignment="1" applyProtection="1">
      <alignment vertical="center"/>
      <protection locked="0"/>
    </xf>
    <xf numFmtId="0" fontId="14" fillId="0" borderId="20" xfId="0" applyFont="1" applyBorder="1" applyAlignment="1">
      <alignment vertical="center"/>
    </xf>
    <xf numFmtId="0" fontId="14" fillId="0" borderId="1" xfId="0" applyFont="1" applyBorder="1" applyAlignment="1">
      <alignment vertical="center"/>
    </xf>
    <xf numFmtId="168" fontId="29" fillId="3" borderId="13" xfId="9" applyNumberFormat="1" applyFont="1" applyFill="1" applyBorder="1"/>
    <xf numFmtId="168" fontId="13" fillId="0" borderId="0" xfId="9" applyNumberFormat="1" applyFont="1" applyAlignment="1">
      <alignment horizontal="justify" vertical="center"/>
    </xf>
    <xf numFmtId="0" fontId="16" fillId="0" borderId="0" xfId="0" applyFont="1" applyAlignment="1">
      <alignment horizontal="justify" vertical="center"/>
    </xf>
    <xf numFmtId="0" fontId="16" fillId="0" borderId="0" xfId="14" applyFont="1" applyAlignment="1">
      <alignment horizontal="left" vertical="center" wrapText="1"/>
    </xf>
    <xf numFmtId="0" fontId="16" fillId="0" borderId="0" xfId="14" applyFont="1" applyAlignment="1">
      <alignment horizontal="left" vertical="top" wrapText="1"/>
    </xf>
    <xf numFmtId="49" fontId="29" fillId="0" borderId="0" xfId="13" applyNumberFormat="1" applyFont="1" applyBorder="1" applyAlignment="1">
      <alignment horizontal="center" vertical="center"/>
    </xf>
    <xf numFmtId="0" fontId="7" fillId="0" borderId="0" xfId="14" applyFont="1" applyAlignment="1">
      <alignment horizontal="left" vertical="center"/>
    </xf>
    <xf numFmtId="43" fontId="14" fillId="0" borderId="28" xfId="13" applyFont="1" applyFill="1" applyBorder="1"/>
    <xf numFmtId="168" fontId="13" fillId="3" borderId="0" xfId="9" applyNumberFormat="1" applyFont="1" applyFill="1" applyAlignment="1">
      <alignment vertical="center"/>
    </xf>
    <xf numFmtId="43" fontId="0" fillId="0" borderId="0" xfId="9" applyFont="1" applyAlignment="1">
      <alignment horizontal="right"/>
    </xf>
    <xf numFmtId="0" fontId="32" fillId="0" borderId="0" xfId="0" applyFont="1" applyAlignment="1">
      <alignment vertical="center"/>
    </xf>
    <xf numFmtId="168" fontId="32" fillId="6" borderId="13" xfId="9" applyNumberFormat="1" applyFont="1" applyFill="1" applyBorder="1" applyProtection="1"/>
    <xf numFmtId="0" fontId="16" fillId="0" borderId="0" xfId="0" applyFont="1" applyAlignment="1" applyProtection="1">
      <alignment horizontal="justify" vertical="center"/>
      <protection locked="0"/>
    </xf>
    <xf numFmtId="0" fontId="16" fillId="0" borderId="0" xfId="0" applyFont="1" applyProtection="1">
      <protection locked="0"/>
    </xf>
    <xf numFmtId="43" fontId="32" fillId="4" borderId="0" xfId="9" applyFont="1" applyFill="1" applyAlignment="1">
      <alignment vertical="center"/>
    </xf>
    <xf numFmtId="0" fontId="29" fillId="0" borderId="0" xfId="0" applyFont="1" applyAlignment="1">
      <alignment vertical="center"/>
    </xf>
    <xf numFmtId="0" fontId="32" fillId="0" borderId="0" xfId="0" applyFont="1" applyAlignment="1">
      <alignment horizontal="left" vertical="center"/>
    </xf>
    <xf numFmtId="43" fontId="13" fillId="0" borderId="0" xfId="9" applyFont="1" applyFill="1"/>
    <xf numFmtId="43" fontId="13" fillId="0" borderId="29" xfId="13" applyFont="1" applyFill="1" applyBorder="1"/>
    <xf numFmtId="43" fontId="13" fillId="0" borderId="31" xfId="13" applyFont="1" applyFill="1" applyBorder="1"/>
    <xf numFmtId="43" fontId="13" fillId="0" borderId="28" xfId="13" applyFont="1" applyFill="1" applyBorder="1"/>
    <xf numFmtId="43" fontId="13" fillId="0" borderId="22" xfId="13" applyFont="1" applyFill="1" applyBorder="1"/>
    <xf numFmtId="43" fontId="13" fillId="4" borderId="30" xfId="13" applyFont="1" applyFill="1" applyBorder="1"/>
    <xf numFmtId="168" fontId="13" fillId="4" borderId="0" xfId="0" applyNumberFormat="1" applyFont="1" applyFill="1"/>
    <xf numFmtId="43" fontId="16" fillId="0" borderId="30" xfId="13" applyFont="1" applyBorder="1"/>
    <xf numFmtId="1" fontId="50" fillId="0" borderId="0" xfId="14" applyNumberFormat="1" applyFont="1" applyAlignment="1">
      <alignment horizontal="left" vertical="center" shrinkToFit="1"/>
    </xf>
    <xf numFmtId="43" fontId="16" fillId="0" borderId="30" xfId="13" applyFont="1" applyBorder="1" applyAlignment="1">
      <alignment vertical="center"/>
    </xf>
    <xf numFmtId="43" fontId="5" fillId="0" borderId="29" xfId="13" applyFont="1" applyBorder="1"/>
    <xf numFmtId="43" fontId="5" fillId="0" borderId="30" xfId="13" applyFont="1" applyBorder="1"/>
    <xf numFmtId="4" fontId="16" fillId="0" borderId="0" xfId="0" applyNumberFormat="1" applyFont="1"/>
    <xf numFmtId="43" fontId="40" fillId="0" borderId="0" xfId="9" applyFont="1"/>
    <xf numFmtId="40" fontId="64" fillId="8" borderId="28" xfId="14" applyNumberFormat="1" applyFont="1" applyFill="1" applyBorder="1" applyAlignment="1">
      <alignment horizontal="right" vertical="center" shrinkToFit="1"/>
    </xf>
    <xf numFmtId="43" fontId="5" fillId="4" borderId="0" xfId="13" applyFont="1" applyFill="1"/>
    <xf numFmtId="43" fontId="0" fillId="3" borderId="2" xfId="13" applyFont="1" applyFill="1" applyBorder="1"/>
    <xf numFmtId="43" fontId="0" fillId="3" borderId="50" xfId="13" applyFont="1" applyFill="1" applyBorder="1"/>
    <xf numFmtId="43" fontId="0" fillId="3" borderId="9" xfId="13" applyFont="1" applyFill="1" applyBorder="1"/>
    <xf numFmtId="43" fontId="13" fillId="3" borderId="9" xfId="13" applyFont="1" applyFill="1" applyBorder="1"/>
    <xf numFmtId="43" fontId="13" fillId="3" borderId="43" xfId="13" applyFont="1" applyFill="1" applyBorder="1" applyAlignment="1">
      <alignment horizontal="center"/>
    </xf>
    <xf numFmtId="43" fontId="0" fillId="3" borderId="52" xfId="13" applyFont="1" applyFill="1" applyBorder="1"/>
    <xf numFmtId="0" fontId="32" fillId="4" borderId="0" xfId="0" applyFont="1" applyFill="1"/>
    <xf numFmtId="0" fontId="11" fillId="4" borderId="0" xfId="0" applyFont="1" applyFill="1" applyAlignment="1">
      <alignment horizontal="center" vertical="center"/>
    </xf>
    <xf numFmtId="43" fontId="29" fillId="4" borderId="0" xfId="9" applyFont="1" applyFill="1" applyAlignment="1">
      <alignment vertical="center"/>
    </xf>
    <xf numFmtId="43" fontId="0" fillId="0" borderId="0" xfId="0" applyNumberFormat="1" applyProtection="1">
      <protection locked="0"/>
    </xf>
    <xf numFmtId="43" fontId="25" fillId="0" borderId="0" xfId="0" applyNumberFormat="1" applyFont="1" applyAlignment="1">
      <alignment vertical="center" wrapText="1"/>
    </xf>
    <xf numFmtId="41" fontId="44" fillId="0" borderId="0" xfId="0" applyNumberFormat="1" applyFont="1" applyAlignment="1">
      <alignment vertical="center" wrapText="1"/>
    </xf>
    <xf numFmtId="43" fontId="13" fillId="0" borderId="0" xfId="9" applyFont="1" applyAlignment="1">
      <alignment vertical="center"/>
    </xf>
    <xf numFmtId="43" fontId="37" fillId="0" borderId="0" xfId="9" applyFont="1" applyAlignment="1">
      <alignment vertical="center" wrapText="1"/>
    </xf>
    <xf numFmtId="43" fontId="29" fillId="0" borderId="0" xfId="9" applyFont="1" applyAlignment="1">
      <alignment vertical="center"/>
    </xf>
    <xf numFmtId="168" fontId="3" fillId="0" borderId="0" xfId="9" applyNumberFormat="1" applyFont="1" applyFill="1" applyAlignment="1">
      <alignment vertical="center"/>
    </xf>
    <xf numFmtId="168" fontId="4" fillId="0" borderId="16" xfId="9" applyNumberFormat="1" applyFont="1" applyFill="1" applyBorder="1" applyAlignment="1">
      <alignment vertical="center"/>
    </xf>
    <xf numFmtId="168" fontId="11" fillId="0" borderId="0" xfId="9" applyNumberFormat="1" applyFont="1" applyFill="1"/>
    <xf numFmtId="168" fontId="3" fillId="0" borderId="0" xfId="9" applyNumberFormat="1" applyFont="1" applyFill="1"/>
    <xf numFmtId="43" fontId="11" fillId="0" borderId="0" xfId="9" applyFont="1" applyFill="1" applyAlignment="1" applyProtection="1">
      <alignment vertical="center"/>
      <protection locked="0"/>
    </xf>
    <xf numFmtId="0" fontId="16" fillId="0" borderId="0" xfId="0" applyFont="1" applyAlignment="1" applyProtection="1">
      <alignment horizontal="center"/>
      <protection locked="0"/>
    </xf>
    <xf numFmtId="3" fontId="11" fillId="0" borderId="0" xfId="0" applyNumberFormat="1" applyFont="1" applyAlignment="1" applyProtection="1">
      <alignment vertical="center"/>
      <protection locked="0"/>
    </xf>
    <xf numFmtId="43" fontId="11" fillId="0" borderId="0" xfId="9" applyFont="1" applyFill="1" applyAlignment="1" applyProtection="1">
      <alignment vertical="center"/>
    </xf>
    <xf numFmtId="43" fontId="16" fillId="0" borderId="0" xfId="9" applyFont="1" applyFill="1" applyAlignment="1" applyProtection="1">
      <alignment vertical="center"/>
      <protection locked="0"/>
    </xf>
    <xf numFmtId="1" fontId="17" fillId="0" borderId="0" xfId="0" applyNumberFormat="1" applyFont="1" applyAlignment="1">
      <alignment horizontal="center" vertical="center"/>
    </xf>
    <xf numFmtId="43" fontId="17" fillId="0" borderId="0" xfId="9" applyFont="1" applyFill="1" applyAlignment="1" applyProtection="1">
      <alignment horizontal="center" vertical="center"/>
      <protection locked="0"/>
    </xf>
    <xf numFmtId="1" fontId="17" fillId="0" borderId="0" xfId="0" applyNumberFormat="1" applyFont="1" applyAlignment="1" applyProtection="1">
      <alignment horizontal="center" vertical="center"/>
      <protection locked="0"/>
    </xf>
    <xf numFmtId="41" fontId="19" fillId="0" borderId="0" xfId="0" applyNumberFormat="1" applyFont="1" applyAlignment="1" applyProtection="1">
      <alignment vertical="center"/>
      <protection locked="0"/>
    </xf>
    <xf numFmtId="43" fontId="19" fillId="0" borderId="0" xfId="9" applyFont="1" applyFill="1" applyAlignment="1" applyProtection="1">
      <alignment vertical="center"/>
      <protection locked="0"/>
    </xf>
    <xf numFmtId="43" fontId="21" fillId="0" borderId="0" xfId="9" applyFont="1" applyFill="1" applyAlignment="1" applyProtection="1">
      <alignment vertical="center"/>
      <protection locked="0"/>
    </xf>
    <xf numFmtId="168" fontId="11" fillId="0" borderId="0" xfId="9" applyNumberFormat="1" applyFont="1" applyFill="1" applyAlignment="1" applyProtection="1">
      <alignment vertical="center"/>
    </xf>
    <xf numFmtId="49" fontId="0" fillId="0" borderId="0" xfId="0" applyNumberFormat="1" applyAlignment="1" applyProtection="1">
      <alignment vertical="center"/>
      <protection locked="0"/>
    </xf>
    <xf numFmtId="49" fontId="16" fillId="0" borderId="0" xfId="0" applyNumberFormat="1" applyFont="1" applyAlignment="1" applyProtection="1">
      <alignment vertical="center"/>
      <protection locked="0"/>
    </xf>
    <xf numFmtId="0" fontId="22" fillId="0" borderId="8" xfId="0" applyFont="1" applyBorder="1" applyAlignment="1" applyProtection="1">
      <alignment horizontal="left" vertical="center"/>
      <protection locked="0"/>
    </xf>
    <xf numFmtId="1" fontId="22" fillId="0" borderId="1" xfId="0" applyNumberFormat="1" applyFont="1" applyBorder="1" applyAlignment="1" applyProtection="1">
      <alignment vertical="center"/>
      <protection locked="0"/>
    </xf>
    <xf numFmtId="1" fontId="22" fillId="0" borderId="0" xfId="0" applyNumberFormat="1" applyFont="1" applyAlignment="1" applyProtection="1">
      <alignment vertical="center"/>
      <protection locked="0"/>
    </xf>
    <xf numFmtId="0" fontId="63" fillId="0" borderId="8" xfId="0" applyFont="1" applyBorder="1" applyAlignment="1" applyProtection="1">
      <alignment horizontal="left" vertical="center"/>
      <protection locked="0"/>
    </xf>
    <xf numFmtId="0" fontId="22" fillId="0" borderId="0" xfId="0" applyFont="1" applyAlignment="1" applyProtection="1">
      <alignment horizontal="left" vertical="center"/>
      <protection locked="0"/>
    </xf>
    <xf numFmtId="49" fontId="3" fillId="0" borderId="0" xfId="0" applyNumberFormat="1" applyFont="1" applyAlignment="1" applyProtection="1">
      <alignment horizontal="center" vertical="center"/>
      <protection locked="0"/>
    </xf>
    <xf numFmtId="49" fontId="59" fillId="0" borderId="0" xfId="0" applyNumberFormat="1" applyFont="1" applyAlignment="1" applyProtection="1">
      <alignment horizontal="center" vertical="center"/>
      <protection locked="0"/>
    </xf>
    <xf numFmtId="168" fontId="11" fillId="0" borderId="0" xfId="9" applyNumberFormat="1" applyFont="1" applyFill="1" applyAlignment="1">
      <alignment vertical="center"/>
    </xf>
    <xf numFmtId="4" fontId="32" fillId="0" borderId="28" xfId="14" applyNumberFormat="1" applyFont="1" applyBorder="1" applyAlignment="1">
      <alignment horizontal="right" vertical="center" shrinkToFit="1"/>
    </xf>
    <xf numFmtId="43" fontId="25" fillId="0" borderId="0" xfId="0" applyNumberFormat="1" applyFont="1" applyAlignment="1">
      <alignment horizontal="center"/>
    </xf>
    <xf numFmtId="43" fontId="16" fillId="0" borderId="0" xfId="9" applyFont="1" applyFill="1" applyBorder="1"/>
    <xf numFmtId="43" fontId="53" fillId="0" borderId="0" xfId="9" applyFont="1" applyFill="1" applyBorder="1"/>
    <xf numFmtId="41" fontId="11" fillId="0" borderId="0" xfId="0" applyNumberFormat="1" applyFont="1" applyAlignment="1" applyProtection="1">
      <alignment horizontal="right" vertical="center"/>
      <protection locked="0"/>
    </xf>
    <xf numFmtId="0" fontId="6" fillId="0" borderId="0" xfId="1" applyAlignment="1" applyProtection="1">
      <alignment vertical="center"/>
      <protection locked="0"/>
    </xf>
    <xf numFmtId="43" fontId="10" fillId="0" borderId="13" xfId="9" applyFont="1" applyFill="1" applyBorder="1" applyAlignment="1" applyProtection="1">
      <alignment vertical="center"/>
    </xf>
    <xf numFmtId="0" fontId="21" fillId="0" borderId="0" xfId="0" applyFont="1" applyAlignment="1" applyProtection="1">
      <alignment vertical="center" wrapText="1"/>
      <protection locked="0"/>
    </xf>
    <xf numFmtId="43" fontId="11" fillId="3" borderId="0" xfId="9" applyFont="1" applyFill="1" applyAlignment="1">
      <alignment vertical="center"/>
    </xf>
    <xf numFmtId="43" fontId="8" fillId="4" borderId="0" xfId="9" applyFont="1" applyFill="1" applyAlignment="1" applyProtection="1">
      <alignment vertical="center"/>
      <protection locked="0"/>
    </xf>
    <xf numFmtId="49" fontId="8" fillId="0" borderId="0" xfId="0" applyNumberFormat="1" applyFont="1" applyAlignment="1" applyProtection="1">
      <alignment horizontal="center" vertical="center"/>
      <protection locked="0"/>
    </xf>
    <xf numFmtId="0" fontId="63" fillId="0" borderId="0" xfId="0" applyFont="1" applyAlignment="1" applyProtection="1">
      <alignment horizontal="left" vertical="center"/>
      <protection locked="0"/>
    </xf>
    <xf numFmtId="43" fontId="16" fillId="0" borderId="0" xfId="13" applyFont="1" applyBorder="1"/>
    <xf numFmtId="43" fontId="16" fillId="0" borderId="4" xfId="13" applyFont="1" applyBorder="1"/>
    <xf numFmtId="43" fontId="5" fillId="0" borderId="4" xfId="13" applyFont="1" applyBorder="1"/>
    <xf numFmtId="43" fontId="14" fillId="0" borderId="4" xfId="13" applyFont="1" applyBorder="1"/>
    <xf numFmtId="43" fontId="32" fillId="4" borderId="28" xfId="13" applyFont="1" applyFill="1" applyBorder="1"/>
    <xf numFmtId="43" fontId="14" fillId="0" borderId="24" xfId="13" applyFont="1" applyBorder="1" applyAlignment="1"/>
    <xf numFmtId="0" fontId="14" fillId="4" borderId="0" xfId="0" applyFont="1" applyFill="1"/>
    <xf numFmtId="43" fontId="13" fillId="0" borderId="33" xfId="13" applyFont="1" applyFill="1" applyBorder="1"/>
    <xf numFmtId="43" fontId="29" fillId="3" borderId="33" xfId="13" applyFont="1" applyFill="1" applyBorder="1"/>
    <xf numFmtId="43" fontId="13" fillId="11" borderId="29" xfId="13" applyFont="1" applyFill="1" applyBorder="1"/>
    <xf numFmtId="43" fontId="13" fillId="11" borderId="30" xfId="13" applyFont="1" applyFill="1" applyBorder="1" applyAlignment="1">
      <alignment vertical="center"/>
    </xf>
    <xf numFmtId="43" fontId="66" fillId="0" borderId="29" xfId="13" applyFont="1" applyBorder="1"/>
    <xf numFmtId="43" fontId="66" fillId="0" borderId="30" xfId="13" applyFont="1" applyBorder="1"/>
    <xf numFmtId="0" fontId="29" fillId="4" borderId="0" xfId="0" applyFont="1" applyFill="1" applyAlignment="1">
      <alignment horizontal="center"/>
    </xf>
    <xf numFmtId="1" fontId="65" fillId="0" borderId="0" xfId="14" applyNumberFormat="1" applyFont="1" applyAlignment="1">
      <alignment horizontal="left" vertical="top" shrinkToFit="1"/>
    </xf>
    <xf numFmtId="0" fontId="13" fillId="0" borderId="0" xfId="14" applyFont="1" applyAlignment="1">
      <alignment horizontal="left" vertical="top" wrapText="1"/>
    </xf>
    <xf numFmtId="1" fontId="50" fillId="4" borderId="0" xfId="14" applyNumberFormat="1" applyFont="1" applyFill="1" applyAlignment="1">
      <alignment horizontal="left" vertical="top" shrinkToFit="1"/>
    </xf>
    <xf numFmtId="0" fontId="16" fillId="4" borderId="0" xfId="14" applyFont="1" applyFill="1" applyAlignment="1">
      <alignment horizontal="left" vertical="top" wrapText="1"/>
    </xf>
    <xf numFmtId="43" fontId="16" fillId="4" borderId="30" xfId="13" applyFont="1" applyFill="1" applyBorder="1"/>
    <xf numFmtId="4" fontId="41" fillId="4" borderId="28" xfId="14" applyNumberFormat="1" applyFont="1" applyFill="1" applyBorder="1" applyAlignment="1">
      <alignment horizontal="right" vertical="center" shrinkToFit="1"/>
    </xf>
    <xf numFmtId="4" fontId="29" fillId="4" borderId="28" xfId="14" applyNumberFormat="1" applyFont="1" applyFill="1" applyBorder="1" applyAlignment="1">
      <alignment horizontal="right" vertical="center" shrinkToFit="1"/>
    </xf>
    <xf numFmtId="43" fontId="54" fillId="0" borderId="29" xfId="13" applyFont="1" applyBorder="1"/>
    <xf numFmtId="43" fontId="54" fillId="0" borderId="31" xfId="13" applyFont="1" applyBorder="1"/>
    <xf numFmtId="43" fontId="0" fillId="3" borderId="23" xfId="13" applyFont="1" applyFill="1" applyBorder="1"/>
    <xf numFmtId="43" fontId="16" fillId="4" borderId="51" xfId="13" applyFont="1" applyFill="1" applyBorder="1" applyAlignment="1">
      <alignment horizontal="center"/>
    </xf>
    <xf numFmtId="43" fontId="32" fillId="4" borderId="28" xfId="13" applyFont="1" applyFill="1" applyBorder="1" applyAlignment="1">
      <alignment horizontal="center"/>
    </xf>
    <xf numFmtId="43" fontId="29" fillId="4" borderId="14" xfId="13" applyFont="1" applyFill="1" applyBorder="1"/>
    <xf numFmtId="43" fontId="39" fillId="0" borderId="0" xfId="13" applyFont="1" applyBorder="1"/>
    <xf numFmtId="43" fontId="66" fillId="0" borderId="0" xfId="13" applyFont="1" applyBorder="1"/>
    <xf numFmtId="43" fontId="5" fillId="0" borderId="30" xfId="13" applyFont="1" applyFill="1" applyBorder="1"/>
    <xf numFmtId="43" fontId="5" fillId="0" borderId="31" xfId="13" applyFont="1" applyFill="1" applyBorder="1"/>
    <xf numFmtId="43" fontId="41" fillId="0" borderId="0" xfId="13" applyFont="1"/>
    <xf numFmtId="43" fontId="29" fillId="0" borderId="0" xfId="13" applyFont="1" applyAlignment="1">
      <alignment horizontal="right"/>
    </xf>
    <xf numFmtId="43" fontId="25" fillId="0" borderId="0" xfId="0" applyNumberFormat="1" applyFont="1"/>
    <xf numFmtId="43" fontId="25" fillId="0" borderId="28" xfId="0" applyNumberFormat="1" applyFont="1" applyBorder="1"/>
    <xf numFmtId="43" fontId="39" fillId="4" borderId="28" xfId="13" applyFont="1" applyFill="1" applyBorder="1"/>
    <xf numFmtId="168" fontId="29" fillId="0" borderId="0" xfId="9" applyNumberFormat="1" applyFont="1" applyFill="1" applyBorder="1" applyAlignment="1" applyProtection="1">
      <alignment horizontal="center" vertical="top" wrapText="1"/>
      <protection hidden="1"/>
    </xf>
    <xf numFmtId="43" fontId="16" fillId="0" borderId="0" xfId="9" applyFont="1" applyAlignment="1">
      <alignment horizontal="justify" vertical="center"/>
    </xf>
    <xf numFmtId="43" fontId="16" fillId="0" borderId="0" xfId="9" applyFont="1" applyFill="1"/>
    <xf numFmtId="43" fontId="29" fillId="0" borderId="0" xfId="9" applyFont="1" applyAlignment="1" applyProtection="1">
      <alignment horizontal="center" vertical="center"/>
      <protection locked="0"/>
    </xf>
    <xf numFmtId="168" fontId="8" fillId="0" borderId="0" xfId="9" applyNumberFormat="1" applyFont="1" applyFill="1" applyAlignment="1">
      <alignment vertical="center"/>
    </xf>
    <xf numFmtId="43" fontId="14" fillId="11" borderId="54" xfId="13" applyFont="1" applyFill="1" applyBorder="1"/>
    <xf numFmtId="43" fontId="16" fillId="11" borderId="4" xfId="13" applyFont="1" applyFill="1" applyBorder="1"/>
    <xf numFmtId="43" fontId="16" fillId="0" borderId="5" xfId="13" applyFont="1" applyFill="1" applyBorder="1"/>
    <xf numFmtId="168" fontId="4" fillId="0" borderId="0" xfId="0" applyNumberFormat="1" applyFont="1"/>
    <xf numFmtId="43" fontId="8" fillId="0" borderId="20" xfId="9" applyFont="1" applyBorder="1"/>
    <xf numFmtId="168" fontId="34" fillId="0" borderId="13" xfId="0" applyNumberFormat="1" applyFont="1" applyBorder="1"/>
    <xf numFmtId="0" fontId="37" fillId="0" borderId="17" xfId="0" applyFont="1" applyBorder="1" applyAlignment="1">
      <alignment horizontal="center" vertical="center"/>
    </xf>
    <xf numFmtId="0" fontId="37" fillId="0" borderId="15" xfId="0" applyFont="1" applyBorder="1" applyAlignment="1">
      <alignment horizontal="center" vertical="center"/>
    </xf>
    <xf numFmtId="43" fontId="16" fillId="0" borderId="41" xfId="13" applyFont="1" applyFill="1" applyBorder="1"/>
    <xf numFmtId="43" fontId="16" fillId="0" borderId="26" xfId="13" applyFont="1" applyFill="1" applyBorder="1"/>
    <xf numFmtId="43" fontId="29" fillId="4" borderId="0" xfId="13" applyFont="1" applyFill="1"/>
    <xf numFmtId="43" fontId="54" fillId="4" borderId="30" xfId="13" applyFont="1" applyFill="1" applyBorder="1"/>
    <xf numFmtId="0" fontId="67" fillId="0" borderId="8" xfId="0" applyFont="1" applyBorder="1" applyAlignment="1" applyProtection="1">
      <alignment horizontal="right" vertical="center"/>
      <protection locked="0"/>
    </xf>
    <xf numFmtId="0" fontId="11" fillId="4" borderId="0" xfId="0" applyFont="1" applyFill="1" applyAlignment="1" applyProtection="1">
      <alignment vertical="center"/>
      <protection locked="0"/>
    </xf>
    <xf numFmtId="0" fontId="22" fillId="4" borderId="8" xfId="0" applyFont="1" applyFill="1" applyBorder="1" applyAlignment="1" applyProtection="1">
      <alignment horizontal="left" vertical="center"/>
      <protection locked="0"/>
    </xf>
    <xf numFmtId="4" fontId="69" fillId="0" borderId="0" xfId="0" applyNumberFormat="1" applyFont="1"/>
    <xf numFmtId="43" fontId="68" fillId="0" borderId="0" xfId="9" applyFont="1" applyFill="1" applyAlignment="1" applyProtection="1">
      <alignment vertical="center"/>
      <protection locked="0"/>
    </xf>
    <xf numFmtId="0" fontId="69" fillId="0" borderId="0" xfId="0" applyFont="1" applyAlignment="1" applyProtection="1">
      <alignment horizontal="center"/>
      <protection locked="0"/>
    </xf>
    <xf numFmtId="49" fontId="68" fillId="0" borderId="0" xfId="0" applyNumberFormat="1" applyFont="1" applyAlignment="1" applyProtection="1">
      <alignment horizontal="center" vertical="center"/>
      <protection locked="0"/>
    </xf>
    <xf numFmtId="43" fontId="70" fillId="3" borderId="9" xfId="13" applyFont="1" applyFill="1" applyBorder="1"/>
    <xf numFmtId="0" fontId="22" fillId="4" borderId="0" xfId="0" applyFont="1" applyFill="1" applyAlignment="1" applyProtection="1">
      <alignment horizontal="left" vertical="center"/>
      <protection locked="0"/>
    </xf>
    <xf numFmtId="43" fontId="70" fillId="3" borderId="6" xfId="13" applyFont="1" applyFill="1" applyBorder="1"/>
    <xf numFmtId="43" fontId="0" fillId="0" borderId="0" xfId="9" applyFont="1" applyBorder="1"/>
    <xf numFmtId="43" fontId="0" fillId="6" borderId="52" xfId="13" applyFont="1" applyFill="1" applyBorder="1"/>
    <xf numFmtId="43" fontId="0" fillId="6" borderId="53" xfId="13" applyFont="1" applyFill="1" applyBorder="1"/>
    <xf numFmtId="43" fontId="0" fillId="0" borderId="39" xfId="9" applyFont="1" applyBorder="1"/>
    <xf numFmtId="43" fontId="16" fillId="3" borderId="55" xfId="13" applyFont="1" applyFill="1" applyBorder="1" applyAlignment="1">
      <alignment horizontal="center"/>
    </xf>
    <xf numFmtId="43" fontId="13" fillId="4" borderId="0" xfId="9" applyFont="1" applyFill="1" applyProtection="1">
      <protection locked="0"/>
    </xf>
    <xf numFmtId="43" fontId="32" fillId="3" borderId="26" xfId="13" applyFont="1" applyFill="1" applyBorder="1" applyAlignment="1">
      <alignment horizontal="center"/>
    </xf>
    <xf numFmtId="43" fontId="13" fillId="3" borderId="6" xfId="13" applyFont="1" applyFill="1" applyBorder="1"/>
    <xf numFmtId="43" fontId="5" fillId="6" borderId="5" xfId="13" applyFont="1" applyFill="1" applyBorder="1"/>
    <xf numFmtId="43" fontId="0" fillId="6" borderId="56" xfId="13" applyFont="1" applyFill="1" applyBorder="1"/>
    <xf numFmtId="43" fontId="5" fillId="6" borderId="55" xfId="13" applyFont="1" applyFill="1" applyBorder="1"/>
    <xf numFmtId="41" fontId="13" fillId="4" borderId="0" xfId="0" applyNumberFormat="1" applyFont="1" applyFill="1"/>
    <xf numFmtId="43" fontId="13" fillId="4" borderId="0" xfId="0" applyNumberFormat="1" applyFont="1" applyFill="1"/>
    <xf numFmtId="41" fontId="13" fillId="4" borderId="0" xfId="0" applyNumberFormat="1" applyFont="1" applyFill="1" applyAlignment="1">
      <alignment vertical="center"/>
    </xf>
    <xf numFmtId="43" fontId="3" fillId="0" borderId="0" xfId="0" applyNumberFormat="1" applyFont="1" applyAlignment="1">
      <alignment vertical="center"/>
    </xf>
    <xf numFmtId="168" fontId="10" fillId="0" borderId="13" xfId="9" applyNumberFormat="1" applyFont="1" applyFill="1" applyBorder="1" applyAlignment="1">
      <alignment vertical="center"/>
    </xf>
    <xf numFmtId="43" fontId="16" fillId="0" borderId="0" xfId="0" applyNumberFormat="1" applyFont="1" applyProtection="1">
      <protection locked="0"/>
    </xf>
    <xf numFmtId="43" fontId="3" fillId="0" borderId="0" xfId="9" applyFont="1" applyFill="1" applyAlignment="1">
      <alignment vertical="center"/>
    </xf>
    <xf numFmtId="168" fontId="4" fillId="0" borderId="16" xfId="9" applyNumberFormat="1" applyFont="1" applyFill="1" applyBorder="1"/>
    <xf numFmtId="168" fontId="68" fillId="0" borderId="0" xfId="9" applyNumberFormat="1" applyFont="1" applyFill="1"/>
    <xf numFmtId="0" fontId="11" fillId="0" borderId="0" xfId="0" applyFont="1" applyAlignment="1">
      <alignment wrapText="1"/>
    </xf>
    <xf numFmtId="168" fontId="4" fillId="0" borderId="13" xfId="9" applyNumberFormat="1" applyFont="1" applyFill="1" applyBorder="1" applyAlignment="1">
      <alignment vertical="center"/>
    </xf>
    <xf numFmtId="43" fontId="0" fillId="0" borderId="0" xfId="9" applyFont="1" applyFill="1" applyAlignment="1">
      <alignment vertical="center"/>
    </xf>
    <xf numFmtId="43" fontId="29" fillId="0" borderId="29" xfId="13" applyFont="1" applyBorder="1" applyAlignment="1">
      <alignment horizontal="center" wrapText="1"/>
    </xf>
    <xf numFmtId="43" fontId="29" fillId="0" borderId="30" xfId="13" applyFont="1" applyBorder="1" applyAlignment="1">
      <alignment horizontal="center" wrapText="1"/>
    </xf>
    <xf numFmtId="43" fontId="29" fillId="0" borderId="31" xfId="13" applyFont="1" applyBorder="1" applyAlignment="1">
      <alignment horizontal="center" wrapText="1"/>
    </xf>
    <xf numFmtId="0" fontId="13" fillId="4" borderId="0" xfId="0" applyFont="1" applyFill="1" applyAlignment="1">
      <alignment horizontal="left" wrapText="1"/>
    </xf>
    <xf numFmtId="0" fontId="3" fillId="0" borderId="0" xfId="0" applyFont="1" applyAlignment="1">
      <alignment horizontal="left" vertical="center"/>
    </xf>
    <xf numFmtId="0" fontId="0" fillId="0" borderId="0" xfId="0" applyAlignment="1">
      <alignment horizontal="left" vertical="center"/>
    </xf>
    <xf numFmtId="43" fontId="32" fillId="0" borderId="24" xfId="13" applyFont="1" applyBorder="1" applyAlignment="1">
      <alignment horizontal="center"/>
    </xf>
    <xf numFmtId="43" fontId="32" fillId="0" borderId="26" xfId="13" applyFont="1" applyBorder="1" applyAlignment="1">
      <alignment horizontal="center"/>
    </xf>
    <xf numFmtId="0" fontId="12" fillId="0" borderId="0" xfId="0" applyFont="1" applyAlignment="1">
      <alignment horizontal="left" vertical="center"/>
    </xf>
    <xf numFmtId="0" fontId="12" fillId="0" borderId="0" xfId="0" applyFont="1" applyAlignment="1">
      <alignment horizontal="center" vertical="center"/>
    </xf>
    <xf numFmtId="0" fontId="32" fillId="0" borderId="0" xfId="0" applyFont="1" applyAlignment="1">
      <alignment horizontal="center" vertical="center"/>
    </xf>
    <xf numFmtId="0" fontId="12" fillId="4" borderId="0" xfId="0" applyFont="1" applyFill="1" applyAlignment="1">
      <alignment horizontal="center" vertical="center"/>
    </xf>
    <xf numFmtId="0" fontId="32" fillId="4" borderId="0" xfId="0" applyFont="1" applyFill="1" applyAlignment="1">
      <alignment horizontal="center" vertical="center"/>
    </xf>
    <xf numFmtId="43" fontId="29" fillId="4" borderId="24" xfId="13" applyFont="1" applyFill="1" applyBorder="1" applyAlignment="1">
      <alignment horizontal="right"/>
    </xf>
    <xf numFmtId="43" fontId="29" fillId="4" borderId="26" xfId="13" applyFont="1" applyFill="1" applyBorder="1" applyAlignment="1">
      <alignment horizontal="right"/>
    </xf>
    <xf numFmtId="43" fontId="14" fillId="4" borderId="24" xfId="13" applyFont="1" applyFill="1" applyBorder="1" applyAlignment="1">
      <alignment horizontal="right"/>
    </xf>
    <xf numFmtId="43" fontId="14" fillId="4" borderId="26" xfId="13" applyFont="1" applyFill="1" applyBorder="1" applyAlignment="1">
      <alignment horizontal="right"/>
    </xf>
    <xf numFmtId="1" fontId="30" fillId="4" borderId="24" xfId="0" applyNumberFormat="1" applyFont="1" applyFill="1" applyBorder="1" applyAlignment="1" applyProtection="1">
      <alignment horizontal="center" vertical="center"/>
      <protection hidden="1"/>
    </xf>
    <xf numFmtId="1" fontId="36" fillId="4" borderId="26" xfId="0" applyNumberFormat="1" applyFont="1" applyFill="1" applyBorder="1" applyAlignment="1" applyProtection="1">
      <alignment horizontal="center" vertical="center"/>
      <protection hidden="1"/>
    </xf>
    <xf numFmtId="43" fontId="16" fillId="4" borderId="37" xfId="13" applyFont="1" applyFill="1" applyBorder="1" applyAlignment="1">
      <alignment horizontal="center" wrapText="1"/>
    </xf>
    <xf numFmtId="0" fontId="10" fillId="0" borderId="0" xfId="14" applyFont="1" applyAlignment="1">
      <alignment horizontal="right" vertical="top" wrapText="1"/>
    </xf>
    <xf numFmtId="0" fontId="32" fillId="0" borderId="0" xfId="14" applyFont="1" applyAlignment="1">
      <alignment horizontal="right" vertical="top" wrapText="1"/>
    </xf>
    <xf numFmtId="43" fontId="32" fillId="0" borderId="29" xfId="13" applyFont="1" applyBorder="1" applyAlignment="1">
      <alignment horizontal="center" wrapText="1"/>
    </xf>
    <xf numFmtId="43" fontId="32" fillId="0" borderId="31" xfId="13" applyFont="1" applyBorder="1" applyAlignment="1">
      <alignment horizontal="center" wrapText="1"/>
    </xf>
    <xf numFmtId="0" fontId="0" fillId="0" borderId="20" xfId="0" applyBorder="1" applyAlignment="1">
      <alignment horizontal="center"/>
    </xf>
    <xf numFmtId="43" fontId="21" fillId="10" borderId="29" xfId="13" applyFont="1" applyFill="1" applyBorder="1" applyAlignment="1">
      <alignment horizontal="center" wrapText="1"/>
    </xf>
    <xf numFmtId="43" fontId="21" fillId="10" borderId="31" xfId="13" applyFont="1" applyFill="1" applyBorder="1" applyAlignment="1">
      <alignment horizontal="center" wrapText="1"/>
    </xf>
    <xf numFmtId="43" fontId="14" fillId="9" borderId="24" xfId="13" applyFont="1" applyFill="1" applyBorder="1" applyAlignment="1">
      <alignment horizontal="center"/>
    </xf>
    <xf numFmtId="43" fontId="14" fillId="9" borderId="26" xfId="13" applyFont="1" applyFill="1" applyBorder="1" applyAlignment="1">
      <alignment horizontal="center"/>
    </xf>
    <xf numFmtId="43" fontId="14" fillId="10" borderId="24" xfId="13" applyFont="1" applyFill="1" applyBorder="1" applyAlignment="1">
      <alignment horizontal="center"/>
    </xf>
    <xf numFmtId="43" fontId="14" fillId="10" borderId="26" xfId="13" applyFont="1" applyFill="1" applyBorder="1" applyAlignment="1">
      <alignment horizontal="center"/>
    </xf>
    <xf numFmtId="43" fontId="29" fillId="0" borderId="24" xfId="13" applyFont="1" applyBorder="1" applyAlignment="1">
      <alignment horizontal="center"/>
    </xf>
    <xf numFmtId="43" fontId="29" fillId="0" borderId="25" xfId="13" applyFont="1" applyBorder="1" applyAlignment="1">
      <alignment horizontal="center"/>
    </xf>
    <xf numFmtId="43" fontId="29" fillId="0" borderId="26" xfId="13" applyFont="1" applyBorder="1" applyAlignment="1">
      <alignment horizontal="center"/>
    </xf>
    <xf numFmtId="43" fontId="29" fillId="0" borderId="29" xfId="13" applyFont="1" applyBorder="1" applyAlignment="1">
      <alignment horizontal="center" vertical="center" wrapText="1"/>
    </xf>
    <xf numFmtId="43" fontId="29" fillId="0" borderId="31" xfId="13" applyFont="1" applyBorder="1" applyAlignment="1">
      <alignment horizontal="center" vertical="center" wrapText="1"/>
    </xf>
    <xf numFmtId="43" fontId="32" fillId="10" borderId="29" xfId="13" applyFont="1" applyFill="1" applyBorder="1" applyAlignment="1">
      <alignment horizontal="center" wrapText="1"/>
    </xf>
    <xf numFmtId="43" fontId="32" fillId="10" borderId="31" xfId="13" applyFont="1" applyFill="1" applyBorder="1" applyAlignment="1">
      <alignment horizontal="center" wrapText="1"/>
    </xf>
    <xf numFmtId="43" fontId="29" fillId="3" borderId="29" xfId="13" applyFont="1" applyFill="1" applyBorder="1" applyAlignment="1">
      <alignment horizontal="center" wrapText="1"/>
    </xf>
    <xf numFmtId="43" fontId="29" fillId="3" borderId="31" xfId="13" applyFont="1" applyFill="1" applyBorder="1" applyAlignment="1">
      <alignment horizontal="center" wrapText="1"/>
    </xf>
    <xf numFmtId="43" fontId="32" fillId="0" borderId="34" xfId="13" applyFont="1" applyBorder="1" applyAlignment="1">
      <alignment horizontal="center" vertical="center" wrapText="1"/>
    </xf>
    <xf numFmtId="43" fontId="32" fillId="0" borderId="35" xfId="13" applyFont="1" applyBorder="1" applyAlignment="1">
      <alignment horizontal="center" vertical="center" wrapText="1"/>
    </xf>
    <xf numFmtId="43" fontId="32" fillId="0" borderId="38" xfId="13" applyFont="1" applyBorder="1" applyAlignment="1">
      <alignment horizontal="center" vertical="center" wrapText="1"/>
    </xf>
    <xf numFmtId="43" fontId="32" fillId="0" borderId="40" xfId="13" applyFont="1" applyBorder="1" applyAlignment="1">
      <alignment horizontal="center" vertical="center" wrapText="1"/>
    </xf>
    <xf numFmtId="43" fontId="13" fillId="0" borderId="20" xfId="13" applyFont="1" applyBorder="1" applyAlignment="1">
      <alignment horizontal="center"/>
    </xf>
    <xf numFmtId="0" fontId="1" fillId="0" borderId="0" xfId="0" applyFont="1" applyAlignment="1" applyProtection="1">
      <alignment horizontal="center" vertical="center"/>
      <protection locked="0"/>
    </xf>
    <xf numFmtId="0" fontId="37" fillId="0" borderId="0" xfId="0" applyFont="1" applyAlignment="1">
      <alignment horizontal="center" vertical="center"/>
    </xf>
    <xf numFmtId="0" fontId="0" fillId="0" borderId="0" xfId="0" applyAlignment="1" applyProtection="1">
      <alignment horizontal="left" wrapText="1"/>
      <protection locked="0"/>
    </xf>
    <xf numFmtId="0" fontId="10" fillId="0" borderId="0" xfId="0" applyFont="1" applyAlignment="1">
      <alignment horizontal="center" vertical="center"/>
    </xf>
    <xf numFmtId="0" fontId="11" fillId="0" borderId="0" xfId="0" applyFont="1" applyAlignment="1">
      <alignment horizontal="center" vertical="center"/>
    </xf>
    <xf numFmtId="0" fontId="1" fillId="0" borderId="0" xfId="0" applyFont="1" applyAlignment="1">
      <alignment horizontal="center" vertical="center"/>
    </xf>
    <xf numFmtId="0" fontId="24" fillId="0" borderId="0" xfId="0" applyFont="1" applyAlignment="1">
      <alignment horizontal="left" wrapText="1"/>
    </xf>
    <xf numFmtId="0" fontId="24" fillId="0" borderId="0" xfId="0" applyFont="1" applyAlignment="1">
      <alignment horizontal="left" vertical="top" wrapText="1"/>
    </xf>
    <xf numFmtId="0" fontId="24" fillId="0" borderId="0" xfId="0" applyFont="1" applyAlignment="1">
      <alignment horizontal="left"/>
    </xf>
    <xf numFmtId="0" fontId="12" fillId="0" borderId="0" xfId="0" applyFont="1" applyAlignment="1">
      <alignment horizontal="left" vertical="top" wrapText="1"/>
    </xf>
    <xf numFmtId="0" fontId="12" fillId="0" borderId="0" xfId="0" applyFont="1" applyAlignment="1">
      <alignment horizontal="center"/>
    </xf>
    <xf numFmtId="0" fontId="24" fillId="0" borderId="0" xfId="0" applyFont="1" applyAlignment="1">
      <alignment horizontal="left" vertical="center" wrapText="1"/>
    </xf>
  </cellXfs>
  <cellStyles count="19">
    <cellStyle name="Comma 2" xfId="16" xr:uid="{00000000-0005-0000-0000-000000000000}"/>
    <cellStyle name="Comma_Hoja de trabajo flujo 2007" xfId="7" xr:uid="{00000000-0005-0000-0000-000001000000}"/>
    <cellStyle name="Currency 2" xfId="15" xr:uid="{00000000-0005-0000-0000-000002000000}"/>
    <cellStyle name="Millares" xfId="9" builtinId="3"/>
    <cellStyle name="Millares 2" xfId="2" xr:uid="{00000000-0005-0000-0000-000004000000}"/>
    <cellStyle name="Millares 3" xfId="6" xr:uid="{00000000-0005-0000-0000-000005000000}"/>
    <cellStyle name="Millares 3 2" xfId="5" xr:uid="{00000000-0005-0000-0000-000006000000}"/>
    <cellStyle name="Millares 4" xfId="12" xr:uid="{00000000-0005-0000-0000-000007000000}"/>
    <cellStyle name="Millares 5" xfId="11" xr:uid="{00000000-0005-0000-0000-000008000000}"/>
    <cellStyle name="Millares 6" xfId="13" xr:uid="{00000000-0005-0000-0000-000009000000}"/>
    <cellStyle name="Millares 7" xfId="17" xr:uid="{00000000-0005-0000-0000-00000A000000}"/>
    <cellStyle name="Moneda 2" xfId="3" xr:uid="{00000000-0005-0000-0000-00000B000000}"/>
    <cellStyle name="Normal" xfId="0" builtinId="0"/>
    <cellStyle name="Normal 2" xfId="8" xr:uid="{00000000-0005-0000-0000-00000D000000}"/>
    <cellStyle name="Normal 2 2" xfId="1" xr:uid="{00000000-0005-0000-0000-00000E000000}"/>
    <cellStyle name="Normal 2 2 2" xfId="4" xr:uid="{00000000-0005-0000-0000-00000F000000}"/>
    <cellStyle name="Normal 3" xfId="10" xr:uid="{00000000-0005-0000-0000-000010000000}"/>
    <cellStyle name="Normal 4" xfId="14" xr:uid="{00000000-0005-0000-0000-000011000000}"/>
    <cellStyle name="Normal 5" xfId="18" xr:uid="{00000000-0005-0000-0000-00001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Z602"/>
  <sheetViews>
    <sheetView topLeftCell="A238" zoomScale="80" zoomScaleNormal="80" workbookViewId="0">
      <selection activeCell="E243" sqref="E243"/>
    </sheetView>
  </sheetViews>
  <sheetFormatPr baseColWidth="10" defaultRowHeight="14.4" x14ac:dyDescent="0.3"/>
  <cols>
    <col min="1" max="1" width="7.88671875" style="107" customWidth="1"/>
    <col min="2" max="2" width="11.6640625" style="107" customWidth="1"/>
    <col min="3" max="3" width="36.33203125" customWidth="1"/>
    <col min="4" max="5" width="20.88671875" customWidth="1"/>
    <col min="6" max="6" width="21.44140625" style="116" customWidth="1"/>
    <col min="7" max="7" width="20.109375" customWidth="1"/>
    <col min="8" max="8" width="3.5546875" customWidth="1"/>
    <col min="9" max="10" width="19.6640625" customWidth="1"/>
    <col min="11" max="11" width="5.5546875" customWidth="1"/>
    <col min="12" max="12" width="19" customWidth="1"/>
    <col min="13" max="13" width="20.44140625" customWidth="1"/>
    <col min="14" max="14" width="4" customWidth="1"/>
    <col min="15" max="15" width="18.33203125" customWidth="1"/>
    <col min="16" max="16" width="19.6640625" customWidth="1"/>
    <col min="17" max="17" width="2.44140625" customWidth="1"/>
    <col min="18" max="18" width="20.33203125" customWidth="1"/>
    <col min="19" max="19" width="19.33203125" customWidth="1"/>
    <col min="20" max="20" width="18.33203125" customWidth="1"/>
    <col min="21" max="21" width="3.6640625" customWidth="1"/>
    <col min="22" max="22" width="20.5546875" customWidth="1"/>
    <col min="23" max="23" width="16.88671875" bestFit="1" customWidth="1"/>
    <col min="24" max="24" width="19.6640625" customWidth="1"/>
    <col min="25" max="25" width="27.33203125" customWidth="1"/>
    <col min="26" max="26" width="15.88671875" customWidth="1"/>
  </cols>
  <sheetData>
    <row r="2" spans="3:9" x14ac:dyDescent="0.3">
      <c r="D2" s="433" t="s">
        <v>331</v>
      </c>
    </row>
    <row r="3" spans="3:9" x14ac:dyDescent="0.3">
      <c r="D3" s="399"/>
      <c r="E3" s="400"/>
    </row>
    <row r="5" spans="3:9" ht="15.75" customHeight="1" x14ac:dyDescent="0.3">
      <c r="C5" s="26" t="s">
        <v>229</v>
      </c>
      <c r="D5" s="26"/>
      <c r="E5" s="434"/>
      <c r="F5" s="279" t="s">
        <v>557</v>
      </c>
      <c r="G5" s="40"/>
    </row>
    <row r="6" spans="3:9" ht="14.4" customHeight="1" x14ac:dyDescent="0.3">
      <c r="C6" s="29" t="s">
        <v>232</v>
      </c>
      <c r="D6" s="29"/>
      <c r="F6" s="370" t="s">
        <v>558</v>
      </c>
      <c r="G6" s="41"/>
      <c r="I6" s="369"/>
    </row>
    <row r="7" spans="3:9" ht="15.6" x14ac:dyDescent="0.3">
      <c r="C7" s="29" t="s">
        <v>3</v>
      </c>
      <c r="D7" s="401" t="s">
        <v>556</v>
      </c>
      <c r="E7" s="398"/>
      <c r="F7" s="570"/>
      <c r="G7" s="41"/>
    </row>
    <row r="8" spans="3:9" ht="15.6" x14ac:dyDescent="0.3">
      <c r="C8" s="29" t="s">
        <v>3</v>
      </c>
      <c r="D8" s="402"/>
      <c r="E8" s="398"/>
      <c r="F8" s="570"/>
      <c r="G8" s="41"/>
    </row>
    <row r="9" spans="3:9" ht="15.6" x14ac:dyDescent="0.3">
      <c r="C9" s="27" t="s">
        <v>235</v>
      </c>
      <c r="D9" s="403"/>
      <c r="E9" s="435"/>
      <c r="F9" s="571"/>
      <c r="G9" s="42"/>
    </row>
    <row r="11" spans="3:9" ht="15.6" x14ac:dyDescent="0.3">
      <c r="C11" s="404" t="s">
        <v>234</v>
      </c>
      <c r="D11" s="405" t="s">
        <v>559</v>
      </c>
      <c r="E11" s="436"/>
      <c r="F11" s="162"/>
      <c r="G11" s="136"/>
    </row>
    <row r="13" spans="3:9" x14ac:dyDescent="0.3">
      <c r="C13" s="404" t="s">
        <v>246</v>
      </c>
      <c r="D13" s="280" t="s">
        <v>560</v>
      </c>
      <c r="E13" s="406"/>
      <c r="F13" s="125"/>
      <c r="G13" s="136"/>
    </row>
    <row r="15" spans="3:9" ht="15.6" x14ac:dyDescent="0.3">
      <c r="C15" s="26" t="s">
        <v>439</v>
      </c>
      <c r="D15" s="279" t="s">
        <v>531</v>
      </c>
      <c r="E15" s="434"/>
      <c r="F15" s="122"/>
      <c r="G15" s="40"/>
    </row>
    <row r="16" spans="3:9" x14ac:dyDescent="0.3">
      <c r="C16" s="29"/>
      <c r="D16" s="370" t="s">
        <v>530</v>
      </c>
      <c r="G16" s="41"/>
    </row>
    <row r="17" spans="2:10" x14ac:dyDescent="0.3">
      <c r="C17" s="29"/>
      <c r="D17" s="370" t="s">
        <v>561</v>
      </c>
      <c r="G17" s="41"/>
    </row>
    <row r="18" spans="2:10" ht="15.6" x14ac:dyDescent="0.3">
      <c r="C18" s="29"/>
      <c r="D18" s="370" t="s">
        <v>562</v>
      </c>
      <c r="E18" s="398"/>
      <c r="F18" s="123"/>
      <c r="G18" s="41"/>
    </row>
    <row r="19" spans="2:10" ht="15.6" x14ac:dyDescent="0.3">
      <c r="C19" s="29"/>
      <c r="D19" s="402"/>
      <c r="E19" s="398"/>
      <c r="F19" s="123"/>
      <c r="G19" s="41"/>
    </row>
    <row r="20" spans="2:10" ht="15.6" x14ac:dyDescent="0.3">
      <c r="C20" s="27"/>
      <c r="D20" s="403"/>
      <c r="E20" s="435"/>
      <c r="F20" s="124"/>
      <c r="G20" s="42"/>
    </row>
    <row r="23" spans="2:10" x14ac:dyDescent="0.3">
      <c r="C23" s="99" t="s">
        <v>280</v>
      </c>
      <c r="D23" s="163" t="s">
        <v>230</v>
      </c>
      <c r="E23" s="77" t="s">
        <v>231</v>
      </c>
    </row>
    <row r="24" spans="2:10" x14ac:dyDescent="0.3">
      <c r="C24" s="389" t="s">
        <v>563</v>
      </c>
      <c r="D24" s="407">
        <v>2025</v>
      </c>
      <c r="E24" s="407">
        <v>2024</v>
      </c>
      <c r="J24" s="69"/>
    </row>
    <row r="25" spans="2:10" x14ac:dyDescent="0.3">
      <c r="C25" s="199"/>
      <c r="D25" s="408"/>
      <c r="E25" s="408"/>
      <c r="J25" s="69"/>
    </row>
    <row r="26" spans="2:10" x14ac:dyDescent="0.3">
      <c r="B26" s="77">
        <v>2</v>
      </c>
      <c r="C26" s="375" t="s">
        <v>490</v>
      </c>
      <c r="D26" s="559">
        <f>SUM(D27:D36)</f>
        <v>31342539.43</v>
      </c>
      <c r="E26" s="409">
        <f>SUM(E27:E36)</f>
        <v>31490780.200000003</v>
      </c>
      <c r="F26" s="378" t="s">
        <v>496</v>
      </c>
      <c r="J26" s="536" t="s">
        <v>532</v>
      </c>
    </row>
    <row r="27" spans="2:10" x14ac:dyDescent="0.3">
      <c r="B27" s="107">
        <v>2.1</v>
      </c>
      <c r="C27" s="376" t="s">
        <v>491</v>
      </c>
      <c r="D27" s="299">
        <v>21067998.460000001</v>
      </c>
      <c r="E27" s="379">
        <v>18844646.469999999</v>
      </c>
      <c r="J27" s="69"/>
    </row>
    <row r="28" spans="2:10" x14ac:dyDescent="0.3">
      <c r="B28" s="107">
        <v>2.2000000000000002</v>
      </c>
      <c r="C28" s="376" t="s">
        <v>492</v>
      </c>
      <c r="D28" s="599">
        <f>8201666.74+139917.92</f>
        <v>8341584.6600000001</v>
      </c>
      <c r="E28" s="379">
        <v>4251814.9300000034</v>
      </c>
      <c r="F28" s="384">
        <f>D28+D36</f>
        <v>8341584.6600000001</v>
      </c>
      <c r="J28" s="69"/>
    </row>
    <row r="29" spans="2:10" x14ac:dyDescent="0.3">
      <c r="B29" s="107">
        <v>2.2999999999999998</v>
      </c>
      <c r="C29" s="376" t="s">
        <v>411</v>
      </c>
      <c r="D29" s="299">
        <v>704227.39</v>
      </c>
      <c r="E29" s="379">
        <v>1833522.5399999998</v>
      </c>
      <c r="J29" s="69"/>
    </row>
    <row r="30" spans="2:10" x14ac:dyDescent="0.3">
      <c r="B30" s="107">
        <v>2.4</v>
      </c>
      <c r="C30" s="376" t="s">
        <v>423</v>
      </c>
      <c r="D30" s="599">
        <f>+'Balance de Comprobación'!D160</f>
        <v>240000</v>
      </c>
      <c r="E30" s="379">
        <v>7850</v>
      </c>
      <c r="J30" s="69"/>
    </row>
    <row r="31" spans="2:10" x14ac:dyDescent="0.3">
      <c r="B31" s="107">
        <v>2.5</v>
      </c>
      <c r="C31" s="376" t="s">
        <v>493</v>
      </c>
      <c r="D31" s="299"/>
      <c r="E31" s="379">
        <v>0</v>
      </c>
      <c r="J31" s="69"/>
    </row>
    <row r="32" spans="2:10" x14ac:dyDescent="0.3">
      <c r="B32" s="107">
        <v>2.6</v>
      </c>
      <c r="C32" s="376" t="s">
        <v>494</v>
      </c>
      <c r="D32" s="482">
        <v>155760</v>
      </c>
      <c r="E32" s="303">
        <v>6549871</v>
      </c>
      <c r="J32" s="69"/>
    </row>
    <row r="33" spans="2:10" x14ac:dyDescent="0.3">
      <c r="B33" s="107">
        <v>2.7</v>
      </c>
      <c r="C33" s="376" t="s">
        <v>495</v>
      </c>
      <c r="D33" s="482">
        <v>831349.04</v>
      </c>
      <c r="E33" s="303">
        <v>0</v>
      </c>
      <c r="J33" s="69"/>
    </row>
    <row r="34" spans="2:10" ht="28.8" x14ac:dyDescent="0.3">
      <c r="B34" s="107">
        <v>2.8</v>
      </c>
      <c r="C34" s="377" t="s">
        <v>18</v>
      </c>
      <c r="D34" s="299">
        <v>0</v>
      </c>
      <c r="E34" s="379">
        <v>0</v>
      </c>
      <c r="J34" s="69"/>
    </row>
    <row r="35" spans="2:10" x14ac:dyDescent="0.3">
      <c r="B35" s="107">
        <v>2.9</v>
      </c>
      <c r="C35" s="376" t="s">
        <v>6</v>
      </c>
      <c r="D35" s="599">
        <f>+'Balance de Comprobación'!D88</f>
        <v>1619.88</v>
      </c>
      <c r="E35" s="379">
        <v>3075.26</v>
      </c>
      <c r="J35" s="69"/>
    </row>
    <row r="36" spans="2:10" x14ac:dyDescent="0.3">
      <c r="C36" s="376" t="s">
        <v>5</v>
      </c>
      <c r="D36" s="410">
        <v>0</v>
      </c>
      <c r="E36" s="410">
        <v>0</v>
      </c>
      <c r="F36" s="3">
        <f>D36/2</f>
        <v>0</v>
      </c>
    </row>
    <row r="37" spans="2:10" x14ac:dyDescent="0.3">
      <c r="C37" s="199"/>
      <c r="D37" s="408"/>
      <c r="E37" s="408"/>
      <c r="J37" s="69"/>
    </row>
    <row r="38" spans="2:10" x14ac:dyDescent="0.3">
      <c r="C38" s="199"/>
      <c r="D38" s="408"/>
      <c r="E38" s="408"/>
      <c r="J38" s="69"/>
    </row>
    <row r="39" spans="2:10" x14ac:dyDescent="0.3">
      <c r="C39" s="199"/>
      <c r="D39" s="379"/>
      <c r="E39" s="408"/>
      <c r="J39" s="69"/>
    </row>
    <row r="40" spans="2:10" x14ac:dyDescent="0.3">
      <c r="C40" s="199"/>
      <c r="D40" s="408"/>
      <c r="E40" s="562">
        <v>-14512865.117666667</v>
      </c>
      <c r="J40" s="69"/>
    </row>
    <row r="41" spans="2:10" x14ac:dyDescent="0.3">
      <c r="C41" s="199"/>
      <c r="D41" s="408"/>
      <c r="E41" s="562">
        <f>D49</f>
        <v>-14512865.117666667</v>
      </c>
      <c r="J41" s="77"/>
    </row>
    <row r="42" spans="2:10" x14ac:dyDescent="0.3">
      <c r="C42" s="199"/>
      <c r="D42" s="408"/>
      <c r="E42" s="562">
        <f>E41-E40</f>
        <v>0</v>
      </c>
      <c r="J42" s="69"/>
    </row>
    <row r="43" spans="2:10" x14ac:dyDescent="0.3">
      <c r="C43" s="199"/>
      <c r="D43" s="408"/>
      <c r="E43" s="562"/>
      <c r="J43" s="69"/>
    </row>
    <row r="44" spans="2:10" x14ac:dyDescent="0.3">
      <c r="F44" s="219" t="s">
        <v>410</v>
      </c>
      <c r="G44" t="s">
        <v>460</v>
      </c>
      <c r="J44" s="69"/>
    </row>
    <row r="45" spans="2:10" hidden="1" x14ac:dyDescent="0.3">
      <c r="C45" s="26" t="s">
        <v>341</v>
      </c>
      <c r="D45" s="397">
        <v>1863008.0425000084</v>
      </c>
      <c r="E45" s="204">
        <v>-26137436.900333408</v>
      </c>
      <c r="F45" s="271"/>
      <c r="G45" s="206">
        <v>-2369662.1091666487</v>
      </c>
      <c r="J45" s="106"/>
    </row>
    <row r="46" spans="2:10" hidden="1" x14ac:dyDescent="0.3">
      <c r="C46" s="29" t="s">
        <v>236</v>
      </c>
      <c r="D46" s="411">
        <v>32976113.5</v>
      </c>
      <c r="E46" s="75">
        <v>73486953.600000009</v>
      </c>
      <c r="G46" s="185">
        <f>G45-F45</f>
        <v>-2369662.1091666487</v>
      </c>
      <c r="J46" s="106"/>
    </row>
    <row r="47" spans="2:10" hidden="1" x14ac:dyDescent="0.3">
      <c r="C47" s="29" t="s">
        <v>237</v>
      </c>
      <c r="D47" s="299">
        <v>-16310174.240000002</v>
      </c>
      <c r="E47" s="75">
        <v>-16600126.570000002</v>
      </c>
      <c r="J47" s="106"/>
    </row>
    <row r="48" spans="2:10" hidden="1" x14ac:dyDescent="0.3">
      <c r="C48" s="29" t="s">
        <v>238</v>
      </c>
      <c r="D48" s="299">
        <v>-2218436</v>
      </c>
      <c r="E48" s="75">
        <v>-2244519.9000000004</v>
      </c>
      <c r="G48" t="s">
        <v>500</v>
      </c>
      <c r="J48" s="106"/>
    </row>
    <row r="49" spans="1:22" hidden="1" x14ac:dyDescent="0.3">
      <c r="C49" s="29" t="s">
        <v>239</v>
      </c>
      <c r="D49" s="411">
        <v>-14512865.117666667</v>
      </c>
      <c r="E49" s="75">
        <v>-24740022.439999972</v>
      </c>
      <c r="G49" s="99">
        <v>15701881.869999999</v>
      </c>
      <c r="H49" s="43"/>
      <c r="J49" s="106"/>
    </row>
    <row r="50" spans="1:22" hidden="1" x14ac:dyDescent="0.3">
      <c r="C50" s="29" t="s">
        <v>240</v>
      </c>
      <c r="D50" s="411">
        <v>0</v>
      </c>
      <c r="E50" s="75">
        <v>0</v>
      </c>
      <c r="H50" s="43"/>
      <c r="J50" s="106"/>
    </row>
    <row r="51" spans="1:22" hidden="1" x14ac:dyDescent="0.3">
      <c r="C51" s="29" t="s">
        <v>241</v>
      </c>
      <c r="D51" s="411">
        <v>195392.50833333327</v>
      </c>
      <c r="E51" s="75">
        <v>645606.38499999978</v>
      </c>
      <c r="H51" s="43"/>
      <c r="J51" s="106"/>
    </row>
    <row r="52" spans="1:22" hidden="1" x14ac:dyDescent="0.3">
      <c r="C52" s="29"/>
      <c r="D52" s="206"/>
      <c r="E52" s="75"/>
      <c r="G52" s="43"/>
      <c r="H52" s="43"/>
      <c r="J52" s="106"/>
      <c r="L52" s="43"/>
    </row>
    <row r="53" spans="1:22" hidden="1" x14ac:dyDescent="0.3">
      <c r="C53" s="29" t="s">
        <v>245</v>
      </c>
      <c r="D53" s="309">
        <v>-3420302.9900000058</v>
      </c>
      <c r="E53" s="75">
        <v>-9146653.429999996</v>
      </c>
      <c r="G53" s="72" t="s">
        <v>499</v>
      </c>
      <c r="H53" s="43"/>
      <c r="J53" s="106"/>
    </row>
    <row r="54" spans="1:22" hidden="1" x14ac:dyDescent="0.3">
      <c r="C54" s="29" t="s">
        <v>242</v>
      </c>
      <c r="D54" s="309">
        <v>958857.89100000262</v>
      </c>
      <c r="E54" s="75">
        <v>525646.32000000402</v>
      </c>
      <c r="G54" s="381">
        <v>35999999.780000001</v>
      </c>
      <c r="H54" s="43"/>
      <c r="J54" s="106"/>
      <c r="L54" s="69"/>
    </row>
    <row r="55" spans="1:22" hidden="1" x14ac:dyDescent="0.3">
      <c r="C55" s="29" t="s">
        <v>243</v>
      </c>
      <c r="D55" s="309">
        <v>-225598.93000000005</v>
      </c>
      <c r="E55" s="75">
        <v>-225598.93000000005</v>
      </c>
      <c r="G55" s="382" t="e">
        <f>G54-#REF!</f>
        <v>#REF!</v>
      </c>
      <c r="H55" s="43"/>
      <c r="J55" s="106"/>
    </row>
    <row r="56" spans="1:22" hidden="1" x14ac:dyDescent="0.3">
      <c r="C56" s="27" t="s">
        <v>244</v>
      </c>
      <c r="D56" s="396">
        <v>-197796.4775000001</v>
      </c>
      <c r="E56" s="205">
        <v>-197796.4775000001</v>
      </c>
      <c r="G56" s="185" t="e">
        <f>G49+G55</f>
        <v>#REF!</v>
      </c>
      <c r="H56" s="43"/>
      <c r="J56" s="106"/>
    </row>
    <row r="57" spans="1:22" x14ac:dyDescent="0.3">
      <c r="F57" s="116">
        <v>40000610.57</v>
      </c>
      <c r="H57" s="43"/>
      <c r="J57" s="69"/>
    </row>
    <row r="58" spans="1:22" x14ac:dyDescent="0.3">
      <c r="F58" s="116">
        <v>33920003.460000001</v>
      </c>
      <c r="H58" s="43"/>
      <c r="J58" s="69"/>
    </row>
    <row r="59" spans="1:22" x14ac:dyDescent="0.3">
      <c r="B59" s="107" t="s">
        <v>361</v>
      </c>
      <c r="C59" s="215" t="s">
        <v>352</v>
      </c>
      <c r="D59" s="412">
        <f>$D$24</f>
        <v>2025</v>
      </c>
      <c r="E59" s="412">
        <f>$E$24</f>
        <v>2024</v>
      </c>
      <c r="H59" s="43"/>
      <c r="J59" s="69"/>
      <c r="O59" s="185"/>
    </row>
    <row r="60" spans="1:22" ht="15" thickBot="1" x14ac:dyDescent="0.35">
      <c r="B60" s="182">
        <v>11112</v>
      </c>
      <c r="C60" s="48" t="s">
        <v>28</v>
      </c>
      <c r="D60" s="437">
        <v>0</v>
      </c>
      <c r="E60" s="297">
        <v>0</v>
      </c>
      <c r="F60" s="143">
        <v>1</v>
      </c>
      <c r="H60" s="77" t="s">
        <v>248</v>
      </c>
      <c r="I60" s="116"/>
      <c r="J60" s="69"/>
      <c r="V60" s="186"/>
    </row>
    <row r="61" spans="1:22" ht="15" thickTop="1" x14ac:dyDescent="0.3">
      <c r="B61" s="182"/>
      <c r="C61" s="48"/>
      <c r="D61" s="438"/>
      <c r="E61" s="161"/>
      <c r="F61"/>
      <c r="G61">
        <v>2022</v>
      </c>
      <c r="H61" s="43"/>
      <c r="I61" s="134"/>
      <c r="J61" s="69"/>
      <c r="O61" s="185"/>
    </row>
    <row r="62" spans="1:22" x14ac:dyDescent="0.3">
      <c r="A62" s="107" t="s">
        <v>325</v>
      </c>
      <c r="B62" s="182">
        <v>111211</v>
      </c>
      <c r="C62" s="48" t="s">
        <v>247</v>
      </c>
      <c r="D62" s="220">
        <v>898571.6</v>
      </c>
      <c r="E62" s="220">
        <v>950901.96</v>
      </c>
      <c r="F62" s="139"/>
      <c r="G62" s="214" t="s">
        <v>461</v>
      </c>
      <c r="I62" s="69"/>
      <c r="J62" s="69"/>
      <c r="O62" s="185"/>
    </row>
    <row r="63" spans="1:22" x14ac:dyDescent="0.3">
      <c r="A63" s="107" t="s">
        <v>324</v>
      </c>
      <c r="B63" s="182">
        <v>111214</v>
      </c>
      <c r="C63" s="48" t="s">
        <v>396</v>
      </c>
      <c r="D63" s="560">
        <v>0</v>
      </c>
      <c r="E63" s="220">
        <v>0</v>
      </c>
      <c r="F63" s="140"/>
      <c r="G63" s="214" t="s">
        <v>407</v>
      </c>
      <c r="H63" s="43"/>
      <c r="I63" s="304"/>
      <c r="J63" s="69"/>
      <c r="M63" s="207"/>
    </row>
    <row r="64" spans="1:22" x14ac:dyDescent="0.3">
      <c r="A64" s="107" t="s">
        <v>326</v>
      </c>
      <c r="B64" s="182">
        <v>1111216</v>
      </c>
      <c r="C64" s="48" t="s">
        <v>501</v>
      </c>
      <c r="D64" s="561">
        <v>45334164.18</v>
      </c>
      <c r="E64" s="220">
        <v>49040286.25</v>
      </c>
      <c r="F64" s="140">
        <v>2</v>
      </c>
      <c r="G64" s="266" t="s">
        <v>409</v>
      </c>
      <c r="H64" s="43"/>
      <c r="I64" s="267"/>
      <c r="J64" s="69"/>
      <c r="L64" s="185"/>
    </row>
    <row r="65" spans="1:24" x14ac:dyDescent="0.3">
      <c r="B65" s="182"/>
      <c r="C65" s="48" t="s">
        <v>502</v>
      </c>
      <c r="D65" s="220"/>
      <c r="F65" s="140"/>
      <c r="G65" s="266"/>
      <c r="H65" s="43"/>
      <c r="I65" s="267"/>
      <c r="J65" s="69"/>
      <c r="O65" s="185"/>
    </row>
    <row r="66" spans="1:24" ht="15" thickBot="1" x14ac:dyDescent="0.35">
      <c r="B66" s="182">
        <v>111217</v>
      </c>
      <c r="C66" s="48" t="s">
        <v>397</v>
      </c>
      <c r="D66" s="220">
        <v>0</v>
      </c>
      <c r="E66" s="220">
        <v>63494.400000000001</v>
      </c>
      <c r="F66" s="140"/>
      <c r="G66" s="214" t="s">
        <v>408</v>
      </c>
      <c r="H66" s="43"/>
      <c r="I66" s="268"/>
      <c r="J66" s="69"/>
    </row>
    <row r="67" spans="1:24" ht="15" thickBot="1" x14ac:dyDescent="0.35">
      <c r="A67" s="107">
        <v>1171</v>
      </c>
      <c r="B67" s="182">
        <v>0</v>
      </c>
      <c r="C67" s="48" t="s">
        <v>287</v>
      </c>
      <c r="D67" s="220"/>
      <c r="E67" s="220"/>
      <c r="F67" s="141"/>
      <c r="G67" s="266" t="s">
        <v>250</v>
      </c>
      <c r="H67" s="43"/>
      <c r="I67" s="269"/>
      <c r="J67" s="118" t="s">
        <v>579</v>
      </c>
    </row>
    <row r="68" spans="1:24" ht="16.2" thickBot="1" x14ac:dyDescent="0.35">
      <c r="C68" s="218"/>
      <c r="D68" s="297">
        <f>SUM(D62:D67)</f>
        <v>46232735.780000001</v>
      </c>
      <c r="E68" s="297">
        <f>SUM(E62:E67)</f>
        <v>50054682.609999999</v>
      </c>
      <c r="F68" s="216"/>
      <c r="G68" s="33"/>
      <c r="H68" s="43"/>
      <c r="I68" s="116"/>
    </row>
    <row r="69" spans="1:24" ht="15" thickTop="1" x14ac:dyDescent="0.3">
      <c r="D69" s="460" t="e">
        <f>#REF!-D68-D60</f>
        <v>#REF!</v>
      </c>
      <c r="E69" s="460" t="e">
        <f>#REF!-E68</f>
        <v>#REF!</v>
      </c>
      <c r="H69" s="43"/>
    </row>
    <row r="70" spans="1:24" x14ac:dyDescent="0.3">
      <c r="C70" s="476" t="s">
        <v>451</v>
      </c>
      <c r="F70" s="134"/>
      <c r="H70" s="43"/>
    </row>
    <row r="71" spans="1:24" x14ac:dyDescent="0.3">
      <c r="C71" s="215" t="s">
        <v>411</v>
      </c>
      <c r="F71" s="265"/>
      <c r="H71" s="108" t="s">
        <v>233</v>
      </c>
      <c r="J71" s="68"/>
    </row>
    <row r="72" spans="1:24" x14ac:dyDescent="0.3">
      <c r="C72" s="277" t="s">
        <v>412</v>
      </c>
      <c r="D72" s="466"/>
      <c r="E72" s="137"/>
      <c r="F72" s="308"/>
      <c r="H72" s="108" t="s">
        <v>233</v>
      </c>
    </row>
    <row r="73" spans="1:24" x14ac:dyDescent="0.3">
      <c r="B73" s="160">
        <v>6231101</v>
      </c>
      <c r="C73" s="467" t="s">
        <v>332</v>
      </c>
      <c r="D73" s="579">
        <v>10436.52</v>
      </c>
      <c r="E73" s="69">
        <v>10436.52</v>
      </c>
      <c r="H73" s="272">
        <f>IF(SUM(D73:E73)=0,"",1)</f>
        <v>1</v>
      </c>
      <c r="V73" s="633" t="s">
        <v>503</v>
      </c>
      <c r="W73" s="633"/>
    </row>
    <row r="74" spans="1:24" x14ac:dyDescent="0.3">
      <c r="B74" s="160"/>
      <c r="C74" s="277" t="s">
        <v>413</v>
      </c>
      <c r="D74" s="579"/>
      <c r="E74" s="307"/>
      <c r="H74" s="108" t="s">
        <v>233</v>
      </c>
      <c r="V74" s="386">
        <v>1845.61</v>
      </c>
    </row>
    <row r="75" spans="1:24" x14ac:dyDescent="0.3">
      <c r="B75" s="160">
        <v>6233101</v>
      </c>
      <c r="C75" s="467" t="s">
        <v>342</v>
      </c>
      <c r="D75" s="579">
        <v>30254.17</v>
      </c>
      <c r="E75" s="307">
        <v>30254.17</v>
      </c>
      <c r="F75" s="265"/>
      <c r="H75" s="272">
        <f>IF(SUM(D75:E75)=0,"",1)</f>
        <v>1</v>
      </c>
      <c r="V75" s="41"/>
      <c r="W75">
        <v>-325</v>
      </c>
      <c r="X75" s="160">
        <v>1</v>
      </c>
    </row>
    <row r="76" spans="1:24" x14ac:dyDescent="0.3">
      <c r="B76" s="160">
        <v>6233201</v>
      </c>
      <c r="C76" s="467" t="s">
        <v>333</v>
      </c>
      <c r="D76" s="579">
        <v>13218.789999999999</v>
      </c>
      <c r="E76" s="307">
        <v>13218.789999999999</v>
      </c>
      <c r="F76" s="265"/>
      <c r="H76" s="272">
        <f>IF(SUM(D76:E76)=0,"",1)</f>
        <v>1</v>
      </c>
      <c r="V76" s="41"/>
      <c r="W76">
        <v>-325</v>
      </c>
      <c r="X76" s="160">
        <v>2</v>
      </c>
    </row>
    <row r="77" spans="1:24" x14ac:dyDescent="0.3">
      <c r="B77" s="160"/>
      <c r="C77" s="277" t="s">
        <v>414</v>
      </c>
      <c r="D77" s="579"/>
      <c r="E77" s="307"/>
      <c r="F77" s="265"/>
      <c r="H77" s="108" t="s">
        <v>233</v>
      </c>
      <c r="V77" s="388">
        <v>31541.39</v>
      </c>
      <c r="W77">
        <v>-327.88</v>
      </c>
      <c r="X77" s="160">
        <v>3</v>
      </c>
    </row>
    <row r="78" spans="1:24" x14ac:dyDescent="0.3">
      <c r="B78" s="160">
        <v>6235501</v>
      </c>
      <c r="C78" s="467" t="s">
        <v>339</v>
      </c>
      <c r="D78" s="579"/>
      <c r="E78" s="307"/>
      <c r="F78" s="265"/>
      <c r="H78" s="272" t="str">
        <f>IF(SUM(D78:E78)=0,"",1)</f>
        <v/>
      </c>
      <c r="V78" s="388"/>
      <c r="W78">
        <v>-1920</v>
      </c>
      <c r="X78" s="160">
        <v>3</v>
      </c>
    </row>
    <row r="79" spans="1:24" x14ac:dyDescent="0.3">
      <c r="B79" s="160"/>
      <c r="C79" s="277" t="s">
        <v>415</v>
      </c>
      <c r="D79" s="579">
        <v>0</v>
      </c>
      <c r="E79" s="307"/>
      <c r="F79" s="265"/>
      <c r="H79" s="108" t="s">
        <v>233</v>
      </c>
      <c r="U79" s="99"/>
      <c r="V79" s="388"/>
      <c r="W79">
        <v>-350.76</v>
      </c>
      <c r="X79" s="160">
        <v>4</v>
      </c>
    </row>
    <row r="80" spans="1:24" x14ac:dyDescent="0.3">
      <c r="B80" s="160">
        <v>6237203</v>
      </c>
      <c r="C80" s="467" t="s">
        <v>334</v>
      </c>
      <c r="D80" s="579">
        <v>0</v>
      </c>
      <c r="E80" s="307">
        <v>0</v>
      </c>
      <c r="H80" s="272" t="str">
        <f>IF(SUM(D80:E80)=0,"",1)</f>
        <v/>
      </c>
      <c r="I80" s="69"/>
      <c r="V80" s="388"/>
      <c r="W80">
        <v>-17176</v>
      </c>
      <c r="X80" s="160">
        <v>4</v>
      </c>
    </row>
    <row r="81" spans="1:24" x14ac:dyDescent="0.3">
      <c r="B81" s="160"/>
      <c r="C81" s="277" t="s">
        <v>206</v>
      </c>
      <c r="D81" s="579"/>
      <c r="E81" s="307"/>
      <c r="H81" s="108" t="s">
        <v>233</v>
      </c>
      <c r="I81" s="69"/>
      <c r="V81" s="388"/>
      <c r="W81">
        <v>-833.43</v>
      </c>
      <c r="X81" s="160">
        <v>5</v>
      </c>
    </row>
    <row r="82" spans="1:24" x14ac:dyDescent="0.3">
      <c r="B82" s="160">
        <v>6239101</v>
      </c>
      <c r="C82" s="467" t="s">
        <v>335</v>
      </c>
      <c r="D82" s="579">
        <v>30543.27</v>
      </c>
      <c r="E82" s="307">
        <v>30543.27</v>
      </c>
      <c r="H82" s="272">
        <f>IF(SUM(D82:E82)=0,"",1)</f>
        <v>1</v>
      </c>
      <c r="I82" s="69"/>
      <c r="V82" s="388"/>
      <c r="W82">
        <v>-5622.2</v>
      </c>
      <c r="X82" s="160">
        <v>5</v>
      </c>
    </row>
    <row r="83" spans="1:24" x14ac:dyDescent="0.3">
      <c r="B83" s="160">
        <v>6239201</v>
      </c>
      <c r="C83" s="467" t="s">
        <v>336</v>
      </c>
      <c r="D83" s="579">
        <v>133572.5</v>
      </c>
      <c r="E83" s="307">
        <v>133572.5</v>
      </c>
      <c r="H83" s="272">
        <f t="shared" ref="H83:H88" si="0">IF(SUM(D83:E83)=0,"",1)</f>
        <v>1</v>
      </c>
      <c r="I83" s="69"/>
      <c r="V83" s="388">
        <v>26555.27</v>
      </c>
      <c r="W83">
        <v>-338.21</v>
      </c>
      <c r="X83" s="160">
        <v>6</v>
      </c>
    </row>
    <row r="84" spans="1:24" x14ac:dyDescent="0.3">
      <c r="B84" s="160">
        <v>6239301</v>
      </c>
      <c r="C84" s="467" t="s">
        <v>416</v>
      </c>
      <c r="D84" s="579">
        <v>5044.8</v>
      </c>
      <c r="E84" s="307">
        <v>5044.8</v>
      </c>
      <c r="H84" s="272">
        <f t="shared" si="0"/>
        <v>1</v>
      </c>
      <c r="I84" s="69"/>
      <c r="V84" s="41"/>
      <c r="W84">
        <v>-18753.919999999998</v>
      </c>
      <c r="X84" s="160">
        <v>6</v>
      </c>
    </row>
    <row r="85" spans="1:24" x14ac:dyDescent="0.3">
      <c r="B85" s="160">
        <v>6239601</v>
      </c>
      <c r="C85" s="467" t="s">
        <v>417</v>
      </c>
      <c r="D85" s="579">
        <v>681.22</v>
      </c>
      <c r="E85" s="307">
        <v>681.22</v>
      </c>
      <c r="H85" s="272">
        <f t="shared" si="0"/>
        <v>1</v>
      </c>
      <c r="I85" s="69"/>
      <c r="V85" s="387">
        <f>SUM(V74:W84)</f>
        <v>13969.870000000003</v>
      </c>
    </row>
    <row r="86" spans="1:24" x14ac:dyDescent="0.3">
      <c r="B86" s="160">
        <v>6239901</v>
      </c>
      <c r="C86" s="467" t="s">
        <v>337</v>
      </c>
      <c r="D86" s="466"/>
      <c r="E86" s="307"/>
      <c r="H86" s="272" t="str">
        <f t="shared" si="0"/>
        <v/>
      </c>
      <c r="I86" s="69"/>
      <c r="K86" s="39"/>
    </row>
    <row r="87" spans="1:24" x14ac:dyDescent="0.3">
      <c r="B87" s="160">
        <v>6239904</v>
      </c>
      <c r="C87" s="467" t="s">
        <v>338</v>
      </c>
      <c r="D87" s="161"/>
      <c r="E87" s="307"/>
      <c r="H87" s="272" t="str">
        <f t="shared" si="0"/>
        <v/>
      </c>
      <c r="I87" s="69"/>
    </row>
    <row r="88" spans="1:24" ht="15" thickBot="1" x14ac:dyDescent="0.35">
      <c r="C88" s="215" t="s">
        <v>250</v>
      </c>
      <c r="D88" s="297">
        <f>SUM(D73:D87)</f>
        <v>223751.27</v>
      </c>
      <c r="E88" s="297">
        <f>SUM(E73:E87)</f>
        <v>223751.27</v>
      </c>
      <c r="F88" s="134"/>
      <c r="G88" s="107"/>
      <c r="H88" s="272">
        <f t="shared" si="0"/>
        <v>1</v>
      </c>
      <c r="I88" s="69"/>
      <c r="J88" s="536" t="s">
        <v>582</v>
      </c>
    </row>
    <row r="89" spans="1:24" ht="15" thickTop="1" x14ac:dyDescent="0.3">
      <c r="H89" s="43"/>
      <c r="I89" s="69"/>
    </row>
    <row r="90" spans="1:24" s="43" customFormat="1" x14ac:dyDescent="0.3">
      <c r="A90" s="108"/>
      <c r="C90" s="51" t="str">
        <f>$C$6</f>
        <v>Situación Financiera</v>
      </c>
      <c r="D90" s="412">
        <f>$D$24</f>
        <v>2025</v>
      </c>
      <c r="E90" s="412">
        <f>$E$24</f>
        <v>2024</v>
      </c>
      <c r="F90" s="653" t="s">
        <v>488</v>
      </c>
      <c r="G90" s="653"/>
      <c r="I90" s="69"/>
      <c r="J90"/>
      <c r="L90"/>
      <c r="M90"/>
      <c r="N90"/>
      <c r="O90"/>
      <c r="P90"/>
      <c r="Q90"/>
      <c r="R90"/>
      <c r="S90"/>
      <c r="T90"/>
    </row>
    <row r="91" spans="1:24" s="43" customFormat="1" ht="16.2" x14ac:dyDescent="0.45">
      <c r="A91" s="108"/>
      <c r="C91" s="78"/>
      <c r="D91" s="126"/>
      <c r="E91" s="126"/>
      <c r="F91" s="126"/>
      <c r="G91"/>
      <c r="I91" s="69"/>
      <c r="J91"/>
      <c r="L91"/>
      <c r="M91"/>
      <c r="N91"/>
      <c r="O91"/>
      <c r="P91"/>
      <c r="Q91"/>
      <c r="R91"/>
      <c r="S91"/>
      <c r="T91"/>
      <c r="V91" s="43">
        <f>L79+R89+V85</f>
        <v>13969.870000000003</v>
      </c>
    </row>
    <row r="92" spans="1:24" s="43" customFormat="1" ht="16.2" x14ac:dyDescent="0.45">
      <c r="A92" s="108"/>
      <c r="C92" s="78" t="s">
        <v>455</v>
      </c>
      <c r="D92" s="44"/>
      <c r="E92" s="44"/>
      <c r="L92"/>
      <c r="M92"/>
      <c r="N92"/>
      <c r="O92"/>
      <c r="P92"/>
      <c r="Q92"/>
      <c r="R92"/>
      <c r="S92"/>
      <c r="T92"/>
      <c r="U92" s="44"/>
    </row>
    <row r="93" spans="1:24" s="43" customFormat="1" x14ac:dyDescent="0.3">
      <c r="B93" s="182">
        <v>21503</v>
      </c>
      <c r="C93" s="48" t="s">
        <v>357</v>
      </c>
      <c r="D93" s="47">
        <v>0</v>
      </c>
      <c r="E93" s="47">
        <v>0</v>
      </c>
      <c r="L93"/>
      <c r="M93"/>
      <c r="N93"/>
      <c r="O93"/>
      <c r="P93"/>
      <c r="Q93"/>
      <c r="R93"/>
      <c r="S93"/>
      <c r="T93"/>
    </row>
    <row r="94" spans="1:24" s="43" customFormat="1" x14ac:dyDescent="0.3">
      <c r="B94" s="182">
        <v>21509</v>
      </c>
      <c r="C94" s="48" t="s">
        <v>486</v>
      </c>
      <c r="D94" s="47">
        <v>0</v>
      </c>
      <c r="E94" s="47">
        <v>0</v>
      </c>
      <c r="L94"/>
      <c r="M94"/>
      <c r="N94"/>
      <c r="O94"/>
      <c r="P94"/>
      <c r="Q94"/>
      <c r="R94"/>
      <c r="S94"/>
      <c r="T94"/>
    </row>
    <row r="95" spans="1:24" s="43" customFormat="1" x14ac:dyDescent="0.3">
      <c r="B95" s="182">
        <v>21512</v>
      </c>
      <c r="C95" s="48" t="s">
        <v>487</v>
      </c>
      <c r="D95" s="47">
        <v>0</v>
      </c>
      <c r="E95" s="47">
        <v>0</v>
      </c>
      <c r="I95" s="216"/>
      <c r="L95"/>
      <c r="M95"/>
      <c r="N95"/>
      <c r="O95"/>
      <c r="P95"/>
      <c r="Q95"/>
      <c r="R95"/>
      <c r="S95"/>
      <c r="T95"/>
    </row>
    <row r="96" spans="1:24" s="43" customFormat="1" x14ac:dyDescent="0.3">
      <c r="A96" s="108"/>
      <c r="C96" s="48"/>
      <c r="D96" s="47">
        <v>0</v>
      </c>
      <c r="E96" s="44"/>
      <c r="I96" s="216"/>
      <c r="L96"/>
      <c r="M96"/>
      <c r="N96"/>
      <c r="O96"/>
      <c r="P96"/>
      <c r="Q96"/>
      <c r="R96"/>
      <c r="S96"/>
      <c r="T96"/>
    </row>
    <row r="97" spans="1:22" s="43" customFormat="1" ht="15" thickBot="1" x14ac:dyDescent="0.35">
      <c r="A97" s="108"/>
      <c r="C97" s="48"/>
      <c r="D97" s="297">
        <f>SUM(D93:D96)</f>
        <v>0</v>
      </c>
      <c r="E97" s="297">
        <f>SUM(E93:E96)</f>
        <v>0</v>
      </c>
      <c r="F97" s="126"/>
      <c r="G97" s="118" t="s">
        <v>579</v>
      </c>
      <c r="J97" s="536" t="s">
        <v>532</v>
      </c>
      <c r="L97"/>
      <c r="M97"/>
      <c r="N97"/>
      <c r="O97"/>
      <c r="P97"/>
      <c r="Q97"/>
      <c r="R97"/>
      <c r="S97"/>
      <c r="T97"/>
    </row>
    <row r="98" spans="1:22" s="43" customFormat="1" ht="15" thickTop="1" x14ac:dyDescent="0.3">
      <c r="A98" s="108"/>
      <c r="C98" s="48"/>
      <c r="D98" s="44"/>
      <c r="E98" s="48"/>
      <c r="F98" s="126"/>
      <c r="L98"/>
      <c r="M98"/>
      <c r="N98"/>
      <c r="O98"/>
      <c r="P98"/>
      <c r="Q98"/>
      <c r="R98"/>
      <c r="S98"/>
      <c r="T98"/>
    </row>
    <row r="99" spans="1:22" x14ac:dyDescent="0.3">
      <c r="D99" s="185"/>
      <c r="H99" s="43"/>
      <c r="I99" s="612" t="s">
        <v>373</v>
      </c>
      <c r="J99" s="612"/>
      <c r="K99" s="612"/>
      <c r="L99" s="612"/>
      <c r="M99" s="612"/>
      <c r="N99" s="612"/>
      <c r="O99" s="612"/>
      <c r="Q99" s="43"/>
    </row>
    <row r="100" spans="1:22" s="43" customFormat="1" ht="16.8" thickBot="1" x14ac:dyDescent="0.5">
      <c r="A100" s="108"/>
      <c r="B100" s="108"/>
      <c r="C100" s="78" t="s">
        <v>453</v>
      </c>
      <c r="D100"/>
      <c r="E100"/>
      <c r="F100" s="126"/>
      <c r="G100"/>
      <c r="I100" s="612"/>
      <c r="J100" s="612"/>
      <c r="K100" s="612"/>
      <c r="L100" s="612"/>
      <c r="M100" s="612"/>
      <c r="N100" s="612"/>
      <c r="O100" s="612"/>
      <c r="P100"/>
      <c r="R100"/>
      <c r="S100"/>
      <c r="T100"/>
      <c r="V100"/>
    </row>
    <row r="101" spans="1:22" s="43" customFormat="1" ht="15" thickBot="1" x14ac:dyDescent="0.35">
      <c r="A101" s="143">
        <v>4</v>
      </c>
      <c r="B101" s="108"/>
      <c r="C101" s="48"/>
      <c r="D101" s="48"/>
      <c r="E101" s="615" t="s">
        <v>288</v>
      </c>
      <c r="F101" s="616"/>
      <c r="I101" s="612"/>
      <c r="J101" s="612"/>
      <c r="K101" s="612"/>
      <c r="L101" s="612"/>
      <c r="M101" s="612"/>
      <c r="N101" s="612"/>
      <c r="O101" s="612"/>
      <c r="P101"/>
      <c r="R101"/>
      <c r="S101"/>
      <c r="T101"/>
      <c r="V101"/>
    </row>
    <row r="102" spans="1:22" s="43" customFormat="1" ht="15" thickBot="1" x14ac:dyDescent="0.35">
      <c r="A102" s="108"/>
      <c r="B102" s="110">
        <v>26</v>
      </c>
      <c r="C102" s="50" t="s">
        <v>281</v>
      </c>
      <c r="D102" s="412">
        <f>$D$24</f>
        <v>2025</v>
      </c>
      <c r="E102" s="626">
        <f>$D$24</f>
        <v>2025</v>
      </c>
      <c r="F102" s="627"/>
      <c r="G102" s="150">
        <f>$E$24</f>
        <v>2024</v>
      </c>
      <c r="P102"/>
      <c r="R102"/>
      <c r="S102"/>
      <c r="T102"/>
      <c r="V102"/>
    </row>
    <row r="103" spans="1:22" s="43" customFormat="1" ht="15" thickBot="1" x14ac:dyDescent="0.35">
      <c r="A103" s="108"/>
      <c r="B103" s="74"/>
      <c r="C103" s="48"/>
      <c r="D103" s="179"/>
      <c r="E103" s="180"/>
      <c r="F103" s="180"/>
      <c r="G103" s="180"/>
      <c r="I103"/>
      <c r="J103"/>
      <c r="P103"/>
      <c r="R103" s="116"/>
      <c r="V103"/>
    </row>
    <row r="104" spans="1:22" s="43" customFormat="1" ht="15" thickBot="1" x14ac:dyDescent="0.35">
      <c r="A104" s="108"/>
      <c r="B104" s="74"/>
      <c r="C104" s="48"/>
      <c r="D104" s="74" t="s">
        <v>294</v>
      </c>
      <c r="E104" s="149" t="s">
        <v>291</v>
      </c>
      <c r="F104" s="147" t="s">
        <v>292</v>
      </c>
      <c r="G104" s="132" t="s">
        <v>293</v>
      </c>
      <c r="I104" s="640" t="s">
        <v>322</v>
      </c>
      <c r="J104" s="641"/>
      <c r="K104" s="641"/>
      <c r="L104" s="641"/>
      <c r="M104" s="642"/>
      <c r="O104" s="631" t="s">
        <v>289</v>
      </c>
      <c r="P104" s="643" t="s">
        <v>478</v>
      </c>
      <c r="R104" s="340" t="s">
        <v>481</v>
      </c>
      <c r="S104" s="645" t="s">
        <v>227</v>
      </c>
      <c r="V104"/>
    </row>
    <row r="105" spans="1:22" s="43" customFormat="1" ht="15" thickBot="1" x14ac:dyDescent="0.35">
      <c r="A105" s="108"/>
      <c r="B105" s="74"/>
      <c r="C105" s="48"/>
      <c r="D105" s="414" t="s">
        <v>295</v>
      </c>
      <c r="E105" s="148" t="s">
        <v>252</v>
      </c>
      <c r="F105" s="148" t="s">
        <v>251</v>
      </c>
      <c r="G105" s="147" t="s">
        <v>290</v>
      </c>
      <c r="I105" s="158" t="s">
        <v>320</v>
      </c>
      <c r="J105" s="158" t="s">
        <v>252</v>
      </c>
      <c r="L105" s="158" t="s">
        <v>323</v>
      </c>
      <c r="M105" s="159" t="s">
        <v>395</v>
      </c>
      <c r="O105" s="632"/>
      <c r="P105" s="644" t="s">
        <v>463</v>
      </c>
      <c r="R105" s="341" t="s">
        <v>480</v>
      </c>
      <c r="S105" s="646"/>
      <c r="V105"/>
    </row>
    <row r="106" spans="1:22" s="47" customFormat="1" x14ac:dyDescent="0.3">
      <c r="A106" s="126" t="s">
        <v>291</v>
      </c>
      <c r="B106" s="628" t="s">
        <v>296</v>
      </c>
      <c r="C106" s="230" t="s">
        <v>303</v>
      </c>
      <c r="D106" s="89">
        <f>G106+F106-E106</f>
        <v>2838286.27</v>
      </c>
      <c r="E106" s="230">
        <f>-(SUMIF($A$161:$A$188,"A",$F$161:$F$188)+SUMIF($A$161:$A$188,"A",$G$161:$G$188))</f>
        <v>0</v>
      </c>
      <c r="F106" s="292">
        <f>SUMIF($A$161:$A$188,"A",$I$161:$I$188)+SUMIF($A$161:$A$188,"A",$J$161:$J$188)</f>
        <v>0</v>
      </c>
      <c r="G106" s="89">
        <v>2838286.27</v>
      </c>
      <c r="H106" s="47" t="s">
        <v>291</v>
      </c>
      <c r="I106" s="455">
        <f t="shared" ref="I106:I108" si="1">+O106+M106+L106-J106</f>
        <v>1166943.3700000001</v>
      </c>
      <c r="J106" s="292">
        <f>SUMIF($A$161:$A$188,"A",$O$161:$O$188)+SUMIF($A$161:$A$188,"A",$P$161:$P$188)</f>
        <v>0</v>
      </c>
      <c r="K106" s="156"/>
      <c r="L106" s="292">
        <f>SUMIF($A$161:$A$188,"A",$R$161:$R$188)+SUMIF($A$161:$A$188,"A",$S$161:$S$188)</f>
        <v>0</v>
      </c>
      <c r="M106" s="292">
        <v>1045876.78</v>
      </c>
      <c r="O106" s="248">
        <f>SUMIF($A$161:$A$187,"A",$V$161:$V$188)</f>
        <v>121066.59000000003</v>
      </c>
      <c r="P106" s="38"/>
      <c r="R106" s="356"/>
      <c r="S106" s="292"/>
      <c r="V106" s="38"/>
    </row>
    <row r="107" spans="1:22" s="47" customFormat="1" x14ac:dyDescent="0.3">
      <c r="A107" s="126" t="s">
        <v>292</v>
      </c>
      <c r="B107" s="628"/>
      <c r="C107" s="231" t="s">
        <v>302</v>
      </c>
      <c r="D107" s="90">
        <f>G107+F107-E107</f>
        <v>5380060.5099999998</v>
      </c>
      <c r="E107" s="231">
        <f>-(SUMIF($A$161:$A$188,"B",$F$161:$F$188)+SUMIF($A$161:$A$188,"B",$G$161:$G$188))</f>
        <v>0</v>
      </c>
      <c r="F107" s="392">
        <f>SUMIF($A$161:$A$188,"B",$I$161:$I$188)+SUMIF($A$161:$A$188,"B",$J$161:$J$188)</f>
        <v>103840</v>
      </c>
      <c r="G107" s="90">
        <v>5276220.51</v>
      </c>
      <c r="H107" s="47" t="s">
        <v>292</v>
      </c>
      <c r="I107" s="392">
        <f t="shared" si="1"/>
        <v>4593948.0599999996</v>
      </c>
      <c r="J107" s="248">
        <f>SUMIF($A$161:$A$188,"B",$O$161:$O$188)+SUMIF($A$161:$A$188,"B",$P$161:$P$188)</f>
        <v>0</v>
      </c>
      <c r="K107" s="156"/>
      <c r="L107" s="541"/>
      <c r="M107" s="248">
        <v>4187799.48</v>
      </c>
      <c r="O107" s="248">
        <f>SUMIF($A$161:$A$187,"B",$V$161:$V$188)</f>
        <v>406148.57999999996</v>
      </c>
      <c r="P107" s="38"/>
      <c r="R107" s="357"/>
      <c r="S107" s="248"/>
      <c r="V107" s="38"/>
    </row>
    <row r="108" spans="1:22" s="47" customFormat="1" ht="15" thickBot="1" x14ac:dyDescent="0.35">
      <c r="A108" s="242" t="s">
        <v>293</v>
      </c>
      <c r="B108" s="358"/>
      <c r="C108" s="231" t="s">
        <v>304</v>
      </c>
      <c r="D108" s="90">
        <f>G108+F108-E108</f>
        <v>374457.44</v>
      </c>
      <c r="E108" s="231">
        <f>-(SUMIF($A$161:$A$188,"C",$F$161:$F$188)+SUMIF($A$161:$A$188,"C",$G$161:$G$188))</f>
        <v>0</v>
      </c>
      <c r="F108" s="359">
        <f>SUMIF($A$161:$A$188,"C",$I$161:$I$188)+SUMIF($A$161:$A$188,"C",$J$161:$J$188)</f>
        <v>0</v>
      </c>
      <c r="G108" s="90">
        <v>374457.44</v>
      </c>
      <c r="H108" s="47" t="s">
        <v>293</v>
      </c>
      <c r="I108" s="456">
        <f t="shared" si="1"/>
        <v>332949.04000000004</v>
      </c>
      <c r="J108" s="359">
        <f>SUMIF($A$161:$A$188,"C",$O$161:$O$188)+SUMIF($A$161:$A$188,"C",$P$161:$P$188)</f>
        <v>0</v>
      </c>
      <c r="K108" s="156"/>
      <c r="L108" s="248">
        <f>SUMIF($A$161:$A$188,"C",$R$161:$R$188)+SUMIF($A$161:$A$188,"C",$S$161:$S$188)</f>
        <v>0</v>
      </c>
      <c r="M108" s="359">
        <v>328960</v>
      </c>
      <c r="O108" s="248">
        <f>SUMIF($A$161:$A$187,"C",$V$161:$V$188)</f>
        <v>3989.0400000000081</v>
      </c>
      <c r="P108" s="38"/>
      <c r="R108" s="357"/>
      <c r="S108" s="359"/>
      <c r="V108" s="38"/>
    </row>
    <row r="109" spans="1:22" s="47" customFormat="1" ht="15" thickBot="1" x14ac:dyDescent="0.35">
      <c r="A109" s="242"/>
      <c r="B109" s="358"/>
      <c r="C109" s="231" t="s">
        <v>261</v>
      </c>
      <c r="D109" s="566">
        <f>SUM(D106:D108)</f>
        <v>8592804.2199999988</v>
      </c>
      <c r="E109" s="293">
        <f>SUM(E106:E108)</f>
        <v>0</v>
      </c>
      <c r="F109" s="293">
        <f>SUM(F106:F108)</f>
        <v>103840</v>
      </c>
      <c r="G109" s="572">
        <f>SUM(G106:G108)</f>
        <v>8488964.2199999988</v>
      </c>
      <c r="I109" s="457">
        <f>SUM(I106:I108)</f>
        <v>6093840.4699999997</v>
      </c>
      <c r="J109" s="293">
        <f>SUM(J106:J108)</f>
        <v>0</v>
      </c>
      <c r="K109" s="156"/>
      <c r="L109" s="293">
        <f>SUM(L106:L108)</f>
        <v>0</v>
      </c>
      <c r="M109" s="293">
        <f>SUM(M106:M108)</f>
        <v>5562636.2599999998</v>
      </c>
      <c r="O109" s="293">
        <f>SUM(O106:O108)</f>
        <v>531204.21</v>
      </c>
      <c r="P109" s="38"/>
      <c r="R109" s="360"/>
      <c r="S109" s="361">
        <f>SUBTOTAL(9,S106:S108)</f>
        <v>0</v>
      </c>
      <c r="V109" s="38"/>
    </row>
    <row r="110" spans="1:22" s="47" customFormat="1" ht="15" thickBot="1" x14ac:dyDescent="0.35">
      <c r="A110" s="242"/>
      <c r="B110" s="358"/>
      <c r="C110" s="231"/>
      <c r="D110" s="390"/>
      <c r="E110" s="294"/>
      <c r="F110" s="294"/>
      <c r="G110" s="294"/>
      <c r="I110" s="458"/>
      <c r="J110" s="294"/>
      <c r="K110" s="156"/>
      <c r="L110" s="294"/>
      <c r="M110" s="294"/>
      <c r="O110" s="294"/>
      <c r="P110" s="38"/>
      <c r="R110" s="362" t="s">
        <v>482</v>
      </c>
      <c r="S110" s="294"/>
      <c r="V110" s="38"/>
    </row>
    <row r="111" spans="1:22" s="47" customFormat="1" x14ac:dyDescent="0.3">
      <c r="A111" s="242" t="s">
        <v>309</v>
      </c>
      <c r="B111" s="358"/>
      <c r="C111" s="231" t="s">
        <v>305</v>
      </c>
      <c r="D111" s="90">
        <f>G111+F111-E111</f>
        <v>19336366.620000001</v>
      </c>
      <c r="E111" s="230">
        <f>-(SUMIF($A$161:$A$188,"D",$F$161:$F$188)+SUMIF($A$161:$A$188,"D",$G$161:$G$188))</f>
        <v>0</v>
      </c>
      <c r="F111" s="292">
        <f>SUMIF($A$161:$A$188,"D",$I$161:$I$188)+SUMIF($A$161:$A$188,"D",$J$161:$J$188)</f>
        <v>0</v>
      </c>
      <c r="G111" s="89">
        <v>19336366.620000001</v>
      </c>
      <c r="H111" s="47" t="s">
        <v>309</v>
      </c>
      <c r="I111" s="455">
        <f t="shared" ref="I111" si="2">+O111+M111+L111-J111</f>
        <v>16139106.779999999</v>
      </c>
      <c r="J111" s="292">
        <f>SUMIF($A$161:$A$188,"D",$O$161:$O$188)+SUMIF($A$161:$A$188,"D",$P$161:$P$188)</f>
        <v>0</v>
      </c>
      <c r="L111" s="292">
        <f>SUMIF($A$161:$A$188,"D",$R$161:$R$188)+SUMIF($A$161:$A$188,"D",$S$161:$S$188)</f>
        <v>0</v>
      </c>
      <c r="M111" s="292">
        <v>15500061.99</v>
      </c>
      <c r="O111" s="248">
        <f>SUMIF($A$161:$A$181,"D",$V$161:$V$181)</f>
        <v>639044.78999999911</v>
      </c>
      <c r="P111" s="38"/>
      <c r="R111" s="363"/>
      <c r="S111" s="292"/>
      <c r="V111" s="38"/>
    </row>
    <row r="112" spans="1:22" s="47" customFormat="1" x14ac:dyDescent="0.3">
      <c r="A112" s="242" t="s">
        <v>310</v>
      </c>
      <c r="B112" s="358"/>
      <c r="C112" s="231" t="s">
        <v>306</v>
      </c>
      <c r="D112" s="90">
        <f>G112+F112-E112</f>
        <v>2500000</v>
      </c>
      <c r="E112" s="231">
        <f>-(SUMIF($A$161:$A$188,"E",$F$161:$F$188)+SUMIF($A$161:$A$188,"E",$G$161:$G$188))</f>
        <v>0</v>
      </c>
      <c r="F112" s="248">
        <f>SUMIF($A$161:$A$188,"E",$I$161:$I$188)+SUMIF($A$161:$A$188,"E",$J$161:$J$188)</f>
        <v>0</v>
      </c>
      <c r="G112" s="90">
        <v>2500000</v>
      </c>
      <c r="H112" s="47" t="s">
        <v>310</v>
      </c>
      <c r="I112" s="459">
        <f>+O112+M112+L112-J112</f>
        <v>1125225.1100000001</v>
      </c>
      <c r="J112" s="248">
        <f>SUMIF($A$161:$A$188,"E",$O$161:$O$188)+SUMIF($A$161:$A$188,"E",$P$161:$P$188)</f>
        <v>0</v>
      </c>
      <c r="L112" s="248">
        <v>0</v>
      </c>
      <c r="M112" s="248">
        <v>1100585.1499999999</v>
      </c>
      <c r="O112" s="248">
        <f>SUMIF($A$161:$A$187,"E",$V$161:$V$188)</f>
        <v>24639.960000000196</v>
      </c>
      <c r="P112" s="38"/>
      <c r="R112" s="357"/>
      <c r="S112" s="248"/>
      <c r="V112" s="38"/>
    </row>
    <row r="113" spans="1:24" s="47" customFormat="1" ht="15" thickBot="1" x14ac:dyDescent="0.35">
      <c r="A113" s="242" t="s">
        <v>308</v>
      </c>
      <c r="B113" s="358"/>
      <c r="C113" s="364" t="s">
        <v>307</v>
      </c>
      <c r="D113" s="391">
        <f>G113+F113-E113</f>
        <v>1017700.4199999999</v>
      </c>
      <c r="E113" s="231">
        <f>-SUMIF($A$161:$A$188,"F",$F$161:$F$188)+SUMIF($A$161:$A$188,"F",$G$161:$G$188)</f>
        <v>0</v>
      </c>
      <c r="F113" s="248">
        <f>SUMIF($A$161:$A$188,"F",$I$161:$I$188)+SUMIF($A$161:$A$188,"F",$J$161:$J$188)</f>
        <v>0</v>
      </c>
      <c r="G113" s="90">
        <v>1017700.4199999999</v>
      </c>
      <c r="H113" s="47" t="s">
        <v>308</v>
      </c>
      <c r="I113" s="456">
        <f t="shared" ref="I113" si="3">+O113+M113+L113-J113</f>
        <v>616643.37</v>
      </c>
      <c r="J113" s="359">
        <f>SUMIF($A$161:$A$188,"F",$O$161:$O$188)+SUMIF($A$161:$A$188,"F",$P$161:$P$188)</f>
        <v>0</v>
      </c>
      <c r="L113" s="359">
        <f>SUMIF($A$161:$A$188,"F",$R$161:$R$188)+SUMIF($A$161:$A$188,"F",$S$161:$S$188)</f>
        <v>0</v>
      </c>
      <c r="M113" s="359">
        <v>571127.75</v>
      </c>
      <c r="O113" s="248">
        <f>SUMIF($A$161:$A$187,"F",$V$161:$V$188)</f>
        <v>45515.62000000001</v>
      </c>
      <c r="R113" s="357"/>
      <c r="S113" s="359"/>
      <c r="V113" s="38"/>
    </row>
    <row r="114" spans="1:24" s="47" customFormat="1" ht="15" thickBot="1" x14ac:dyDescent="0.35">
      <c r="A114" s="242"/>
      <c r="B114" s="358"/>
      <c r="C114" s="231" t="s">
        <v>249</v>
      </c>
      <c r="D114" s="530">
        <f>SUM(D111:D113)</f>
        <v>22854067.039999999</v>
      </c>
      <c r="E114" s="295">
        <f>SUM(E111:E113)</f>
        <v>0</v>
      </c>
      <c r="F114" s="293">
        <f>SUM(F111:F113)</f>
        <v>0</v>
      </c>
      <c r="G114" s="573">
        <f>SUM(G111:G113)</f>
        <v>22854067.039999999</v>
      </c>
      <c r="I114" s="457">
        <f>SUM(I111:I113)</f>
        <v>17880975.260000002</v>
      </c>
      <c r="J114" s="293">
        <f>SUM(J111:J113)</f>
        <v>0</v>
      </c>
      <c r="L114" s="293">
        <f>SUM(L111:L113)</f>
        <v>0</v>
      </c>
      <c r="M114" s="293">
        <f>SUM(M111:M113)</f>
        <v>17171774.890000001</v>
      </c>
      <c r="O114" s="293">
        <f>SUM(O111:O113)</f>
        <v>709200.3699999993</v>
      </c>
      <c r="R114" s="360"/>
      <c r="S114" s="93">
        <f>SUBTOTAL(9,S111:S113)</f>
        <v>0</v>
      </c>
      <c r="V114" s="38"/>
    </row>
    <row r="115" spans="1:24" s="47" customFormat="1" ht="15" thickBot="1" x14ac:dyDescent="0.35">
      <c r="A115" s="242"/>
      <c r="B115" s="358"/>
      <c r="C115" s="296"/>
      <c r="D115" s="296"/>
      <c r="E115" s="156"/>
      <c r="F115" s="156"/>
      <c r="G115" s="156"/>
      <c r="I115" s="156"/>
      <c r="J115" s="156"/>
      <c r="L115" s="156"/>
      <c r="M115" s="294"/>
      <c r="O115" s="156"/>
      <c r="R115" s="211"/>
      <c r="S115" s="156"/>
      <c r="V115" s="38"/>
    </row>
    <row r="116" spans="1:24" s="46" customFormat="1" ht="15" thickBot="1" x14ac:dyDescent="0.35">
      <c r="A116" s="74"/>
      <c r="B116" s="71"/>
      <c r="C116" s="342" t="s">
        <v>262</v>
      </c>
      <c r="D116" s="531">
        <f>D109+D114</f>
        <v>31446871.259999998</v>
      </c>
      <c r="E116" s="468">
        <f>E109+E114</f>
        <v>0</v>
      </c>
      <c r="F116" s="240">
        <f>F109+F114</f>
        <v>103840</v>
      </c>
      <c r="G116" s="93">
        <f>G109+G114</f>
        <v>31343031.259999998</v>
      </c>
      <c r="I116" s="57">
        <f>I109+I114</f>
        <v>23974815.73</v>
      </c>
      <c r="J116" s="57">
        <f>J109+J114</f>
        <v>0</v>
      </c>
      <c r="L116" s="233">
        <f>L109+L114</f>
        <v>0</v>
      </c>
      <c r="M116" s="93">
        <f>M109+M114</f>
        <v>22734411.149999999</v>
      </c>
      <c r="O116" s="144">
        <f>O109+O114</f>
        <v>1240404.5799999991</v>
      </c>
      <c r="P116" s="47"/>
      <c r="R116" s="339" t="s">
        <v>250</v>
      </c>
      <c r="S116" s="344">
        <f>S109-S114</f>
        <v>0</v>
      </c>
      <c r="V116" s="99"/>
    </row>
    <row r="117" spans="1:24" s="43" customFormat="1" x14ac:dyDescent="0.3">
      <c r="A117" s="108"/>
      <c r="B117" s="71"/>
      <c r="C117" s="53"/>
      <c r="D117" s="154">
        <f>D116-D191</f>
        <v>0</v>
      </c>
      <c r="E117" s="154"/>
      <c r="F117" s="154">
        <f>(I182+J182)-F116</f>
        <v>0</v>
      </c>
      <c r="I117" s="154">
        <f>I116-L191</f>
        <v>0</v>
      </c>
      <c r="M117" s="469">
        <f>I116-(M116+L116-J116)</f>
        <v>1240404.5800000019</v>
      </c>
      <c r="O117" s="43">
        <f>L116+O116</f>
        <v>1240404.5799999991</v>
      </c>
      <c r="P117" s="47"/>
      <c r="R117" s="216"/>
    </row>
    <row r="118" spans="1:24" s="43" customFormat="1" ht="16.8" hidden="1" thickBot="1" x14ac:dyDescent="0.5">
      <c r="A118" s="108"/>
      <c r="B118" s="74"/>
      <c r="C118" s="46"/>
      <c r="D118" s="157" t="s">
        <v>312</v>
      </c>
      <c r="F118" s="174" t="s">
        <v>314</v>
      </c>
      <c r="G118" s="63"/>
      <c r="I118" s="174" t="s">
        <v>315</v>
      </c>
      <c r="J118" s="63"/>
      <c r="K118" s="63"/>
      <c r="L118" s="157" t="s">
        <v>313</v>
      </c>
      <c r="O118" s="157" t="s">
        <v>316</v>
      </c>
      <c r="X118" s="175" t="s">
        <v>356</v>
      </c>
    </row>
    <row r="119" spans="1:24" s="76" customFormat="1" hidden="1" x14ac:dyDescent="0.3">
      <c r="A119" s="183"/>
      <c r="B119" s="111"/>
      <c r="C119" s="83"/>
      <c r="D119" s="89" t="e">
        <f>#REF!+W118-V118</f>
        <v>#REF!</v>
      </c>
      <c r="F119" s="43"/>
      <c r="G119" s="43"/>
      <c r="H119" s="138"/>
      <c r="K119" s="43"/>
      <c r="O119" s="43"/>
      <c r="Q119" s="43"/>
      <c r="R119" s="43"/>
      <c r="T119" s="43"/>
      <c r="U119" s="43"/>
      <c r="V119" s="54"/>
      <c r="W119" s="54"/>
      <c r="X119" s="43"/>
    </row>
    <row r="120" spans="1:24" s="76" customFormat="1" hidden="1" x14ac:dyDescent="0.3">
      <c r="A120" s="183"/>
      <c r="B120" s="111"/>
      <c r="C120" s="84"/>
      <c r="D120" s="90">
        <f>X119+W119-V119</f>
        <v>0</v>
      </c>
      <c r="F120" s="43"/>
      <c r="G120" s="43"/>
      <c r="H120" s="138"/>
      <c r="K120" s="43"/>
      <c r="O120" s="43"/>
      <c r="Q120" s="43"/>
      <c r="R120" s="43"/>
      <c r="S120" s="43"/>
      <c r="T120" s="43"/>
      <c r="U120" s="43"/>
      <c r="V120" s="54"/>
      <c r="W120" s="54"/>
      <c r="X120" s="43"/>
    </row>
    <row r="121" spans="1:24" s="76" customFormat="1" hidden="1" x14ac:dyDescent="0.3">
      <c r="A121" s="183"/>
      <c r="B121" s="111"/>
      <c r="C121" s="85"/>
      <c r="D121" s="90">
        <f>X120+W120-V120</f>
        <v>0</v>
      </c>
      <c r="F121" s="43"/>
      <c r="G121" s="43"/>
      <c r="H121" s="138"/>
      <c r="K121" s="43"/>
      <c r="O121" s="43"/>
      <c r="Q121" s="43"/>
      <c r="R121" s="43"/>
      <c r="S121" s="43"/>
      <c r="T121" s="43"/>
      <c r="U121" s="43"/>
      <c r="V121" s="54"/>
      <c r="W121" s="54"/>
      <c r="X121" s="43"/>
    </row>
    <row r="122" spans="1:24" s="76" customFormat="1" hidden="1" x14ac:dyDescent="0.3">
      <c r="A122" s="183"/>
      <c r="B122" s="111"/>
      <c r="C122" s="86"/>
      <c r="D122" s="91" t="e">
        <f>SUM(D119:D121)</f>
        <v>#REF!</v>
      </c>
      <c r="F122" s="43"/>
      <c r="G122" s="43"/>
      <c r="H122" s="138"/>
      <c r="K122" s="43"/>
      <c r="O122" s="43"/>
      <c r="Q122" s="43"/>
      <c r="R122" s="43"/>
      <c r="S122" s="43"/>
      <c r="T122" s="43"/>
      <c r="U122" s="43"/>
      <c r="V122" s="54"/>
      <c r="W122" s="54"/>
      <c r="X122" s="43"/>
    </row>
    <row r="123" spans="1:24" s="76" customFormat="1" hidden="1" x14ac:dyDescent="0.3">
      <c r="A123" s="183"/>
      <c r="B123" s="111"/>
      <c r="C123" s="84"/>
      <c r="D123" s="90"/>
      <c r="F123" s="43"/>
      <c r="G123" s="43"/>
      <c r="H123" s="138"/>
      <c r="K123" s="43"/>
      <c r="O123" s="43"/>
      <c r="Q123" s="43"/>
      <c r="R123" s="43"/>
      <c r="S123" s="43"/>
      <c r="T123" s="43"/>
      <c r="U123" s="43"/>
      <c r="V123" s="54"/>
      <c r="W123" s="54"/>
      <c r="X123" s="43"/>
    </row>
    <row r="124" spans="1:24" s="76" customFormat="1" hidden="1" x14ac:dyDescent="0.3">
      <c r="A124" s="183"/>
      <c r="B124" s="111"/>
      <c r="C124" s="84"/>
      <c r="D124" s="90">
        <f>X123+W123-V123</f>
        <v>0</v>
      </c>
      <c r="F124" s="43"/>
      <c r="G124" s="43"/>
      <c r="H124" s="138"/>
      <c r="K124" s="43"/>
      <c r="O124" s="43"/>
      <c r="Q124" s="43"/>
      <c r="R124" s="43"/>
      <c r="S124" s="43"/>
      <c r="T124" s="43"/>
      <c r="U124" s="43"/>
      <c r="V124" s="54"/>
      <c r="W124" s="54"/>
      <c r="X124" s="43"/>
    </row>
    <row r="125" spans="1:24" s="76" customFormat="1" hidden="1" x14ac:dyDescent="0.3">
      <c r="A125" s="183"/>
      <c r="B125" s="111"/>
      <c r="C125" s="84"/>
      <c r="D125" s="90">
        <f>X124+W124-V124</f>
        <v>0</v>
      </c>
      <c r="F125" s="43"/>
      <c r="G125" s="43"/>
      <c r="H125" s="138"/>
      <c r="K125" s="43"/>
      <c r="O125" s="43"/>
      <c r="Q125" s="43"/>
      <c r="R125" s="43"/>
      <c r="S125" s="43"/>
      <c r="T125" s="43"/>
      <c r="U125" s="43"/>
      <c r="V125" s="54"/>
      <c r="W125" s="54"/>
      <c r="X125" s="43"/>
    </row>
    <row r="126" spans="1:24" s="76" customFormat="1" ht="15" hidden="1" thickBot="1" x14ac:dyDescent="0.35">
      <c r="A126" s="183"/>
      <c r="B126" s="111"/>
      <c r="C126" s="84"/>
      <c r="D126" s="90">
        <f>X125+W125-V125</f>
        <v>0</v>
      </c>
      <c r="F126" s="43"/>
      <c r="G126" s="43"/>
      <c r="H126" s="138"/>
      <c r="K126" s="43"/>
      <c r="O126" s="43"/>
      <c r="Q126" s="43"/>
      <c r="R126" s="43"/>
      <c r="S126" s="43"/>
      <c r="T126" s="43"/>
      <c r="U126" s="43"/>
      <c r="V126" s="54"/>
      <c r="W126" s="54"/>
      <c r="X126" s="43"/>
    </row>
    <row r="127" spans="1:24" s="76" customFormat="1" ht="15" hidden="1" thickBot="1" x14ac:dyDescent="0.35">
      <c r="A127" s="183"/>
      <c r="B127" s="111"/>
      <c r="C127" s="86"/>
      <c r="D127" s="93">
        <f>V126</f>
        <v>0</v>
      </c>
      <c r="F127" s="43"/>
      <c r="G127" s="43"/>
      <c r="H127" s="138"/>
      <c r="K127" s="43"/>
      <c r="O127" s="43"/>
      <c r="Q127" s="43"/>
      <c r="R127" s="43"/>
      <c r="S127" s="43"/>
      <c r="T127" s="43"/>
      <c r="U127" s="43"/>
      <c r="V127" s="54"/>
      <c r="W127" s="54"/>
      <c r="X127" s="43"/>
    </row>
    <row r="128" spans="1:24" s="76" customFormat="1" ht="15" hidden="1" thickBot="1" x14ac:dyDescent="0.35">
      <c r="A128" s="183"/>
      <c r="B128" s="111"/>
      <c r="C128" s="87"/>
      <c r="D128" s="96"/>
      <c r="F128" s="43"/>
      <c r="G128" s="43"/>
      <c r="H128" s="138"/>
      <c r="K128" s="43"/>
      <c r="O128" s="43"/>
      <c r="Q128" s="43"/>
      <c r="R128" s="43"/>
      <c r="S128" s="43"/>
      <c r="T128" s="43"/>
      <c r="U128" s="43"/>
      <c r="V128" s="54"/>
      <c r="W128" s="54"/>
      <c r="X128" s="43"/>
    </row>
    <row r="129" spans="1:24" s="76" customFormat="1" ht="15" hidden="1" thickBot="1" x14ac:dyDescent="0.35">
      <c r="A129" s="183"/>
      <c r="B129" s="111"/>
      <c r="C129" s="82"/>
      <c r="D129" s="92" t="e">
        <f>SUM(D122:D127)</f>
        <v>#REF!</v>
      </c>
      <c r="F129" s="43"/>
      <c r="G129" s="43"/>
      <c r="H129" s="138"/>
      <c r="K129" s="43"/>
      <c r="O129" s="43"/>
      <c r="Q129" s="43"/>
      <c r="R129" s="43"/>
      <c r="S129" s="145">
        <v>2095067.7899999991</v>
      </c>
      <c r="T129" s="43"/>
      <c r="U129" s="43"/>
      <c r="V129" s="54"/>
      <c r="W129" s="54"/>
      <c r="X129" s="43"/>
    </row>
    <row r="130" spans="1:24" s="76" customFormat="1" ht="15" hidden="1" thickBot="1" x14ac:dyDescent="0.35">
      <c r="A130" s="183"/>
      <c r="B130" s="111"/>
      <c r="C130" s="82"/>
      <c r="D130" s="88"/>
      <c r="F130" s="43"/>
      <c r="G130" s="43"/>
      <c r="H130" s="138"/>
      <c r="K130" s="43"/>
      <c r="O130" s="43"/>
      <c r="Q130" s="43"/>
      <c r="R130" s="43"/>
      <c r="S130" s="43"/>
      <c r="T130" s="43"/>
      <c r="U130" s="43"/>
      <c r="V130" s="54"/>
      <c r="W130" s="54"/>
      <c r="X130" s="43"/>
    </row>
    <row r="131" spans="1:24" s="43" customFormat="1" ht="15" hidden="1" thickBot="1" x14ac:dyDescent="0.35">
      <c r="A131" s="108"/>
      <c r="B131" s="622"/>
      <c r="C131" s="623"/>
      <c r="D131" s="142" t="e">
        <f>V130+D116-D129</f>
        <v>#REF!</v>
      </c>
      <c r="H131" s="138"/>
      <c r="V131" s="54"/>
      <c r="W131" s="127"/>
    </row>
    <row r="132" spans="1:24" s="43" customFormat="1" ht="15" hidden="1" thickBot="1" x14ac:dyDescent="0.35">
      <c r="A132" s="108"/>
      <c r="B132" s="74"/>
      <c r="C132" s="46"/>
      <c r="D132" s="53"/>
      <c r="V132" s="54"/>
    </row>
    <row r="133" spans="1:24" s="43" customFormat="1" hidden="1" x14ac:dyDescent="0.3">
      <c r="A133" s="135">
        <v>4</v>
      </c>
      <c r="B133" s="112"/>
      <c r="C133" s="79"/>
      <c r="D133" s="80">
        <v>1204109.83</v>
      </c>
      <c r="V133" s="54"/>
      <c r="W133" s="43">
        <f>15774.5+286097.9+43875.47</f>
        <v>345747.87</v>
      </c>
    </row>
    <row r="134" spans="1:24" s="43" customFormat="1" hidden="1" x14ac:dyDescent="0.3">
      <c r="A134" s="135">
        <v>4</v>
      </c>
      <c r="B134" s="113"/>
      <c r="C134" s="52"/>
      <c r="D134" s="81">
        <v>-357612.06999999983</v>
      </c>
      <c r="V134" s="54"/>
      <c r="W134" s="43">
        <f>D134+W133</f>
        <v>-11864.199999999837</v>
      </c>
    </row>
    <row r="135" spans="1:24" s="43" customFormat="1" hidden="1" x14ac:dyDescent="0.3">
      <c r="A135" s="135">
        <v>4</v>
      </c>
      <c r="B135" s="113"/>
      <c r="C135" s="64"/>
      <c r="D135" s="81"/>
      <c r="V135" s="54"/>
      <c r="W135" s="146">
        <v>3745675.41</v>
      </c>
    </row>
    <row r="136" spans="1:24" s="43" customFormat="1" hidden="1" x14ac:dyDescent="0.3">
      <c r="A136" s="108"/>
      <c r="B136" s="113"/>
      <c r="C136" s="53"/>
      <c r="D136" s="97">
        <f>SUM(D133:D135)</f>
        <v>846497.76000000024</v>
      </c>
      <c r="V136" s="54"/>
      <c r="W136" s="127"/>
    </row>
    <row r="137" spans="1:24" s="43" customFormat="1" hidden="1" x14ac:dyDescent="0.3">
      <c r="A137" s="108"/>
      <c r="B137" s="113"/>
      <c r="C137" s="52"/>
      <c r="D137" s="81"/>
      <c r="V137" s="54"/>
      <c r="W137" s="127">
        <f>728500</f>
        <v>728500</v>
      </c>
    </row>
    <row r="138" spans="1:24" s="43" customFormat="1" hidden="1" x14ac:dyDescent="0.3">
      <c r="A138" s="108"/>
      <c r="B138" s="113"/>
      <c r="C138" s="52"/>
      <c r="D138" s="81">
        <v>-3101759.5999999987</v>
      </c>
      <c r="V138" s="54"/>
      <c r="W138" s="127"/>
    </row>
    <row r="139" spans="1:24" s="43" customFormat="1" hidden="1" x14ac:dyDescent="0.3">
      <c r="A139" s="108"/>
      <c r="B139" s="113"/>
      <c r="C139" s="52"/>
      <c r="D139" s="81">
        <v>-49279.929999999935</v>
      </c>
      <c r="V139" s="54"/>
      <c r="W139" s="127"/>
    </row>
    <row r="140" spans="1:24" s="43" customFormat="1" hidden="1" x14ac:dyDescent="0.3">
      <c r="A140" s="108"/>
      <c r="B140" s="113"/>
      <c r="C140" s="52"/>
      <c r="D140" s="81">
        <v>-241151.45</v>
      </c>
      <c r="V140" s="54"/>
      <c r="W140" s="146">
        <v>4826178.93</v>
      </c>
    </row>
    <row r="141" spans="1:24" s="43" customFormat="1" hidden="1" x14ac:dyDescent="0.3">
      <c r="A141" s="108"/>
      <c r="B141" s="113"/>
      <c r="C141" s="53"/>
      <c r="D141" s="97">
        <f>SUM(D138:D140)</f>
        <v>-3392190.9799999986</v>
      </c>
      <c r="S141" s="43">
        <v>-6260166.8800000008</v>
      </c>
      <c r="V141" s="54"/>
      <c r="W141" s="127"/>
    </row>
    <row r="142" spans="1:24" s="43" customFormat="1" ht="15" hidden="1" thickBot="1" x14ac:dyDescent="0.35">
      <c r="A142" s="108"/>
      <c r="B142" s="114"/>
      <c r="C142" s="98"/>
      <c r="D142" s="95"/>
      <c r="V142" s="54"/>
      <c r="W142" s="127"/>
    </row>
    <row r="143" spans="1:24" s="43" customFormat="1" ht="15" hidden="1" thickBot="1" x14ac:dyDescent="0.35">
      <c r="A143" s="108"/>
      <c r="B143" s="71"/>
      <c r="C143" s="46"/>
      <c r="D143" s="92">
        <f>D136+D141</f>
        <v>-2545693.2199999983</v>
      </c>
      <c r="V143" s="54"/>
      <c r="W143" s="127"/>
    </row>
    <row r="144" spans="1:24" s="43" customFormat="1" ht="15" hidden="1" thickBot="1" x14ac:dyDescent="0.35">
      <c r="A144" s="108"/>
      <c r="B144" s="71"/>
      <c r="C144" s="46"/>
      <c r="D144" s="53"/>
      <c r="V144" s="54"/>
      <c r="W144" s="127"/>
    </row>
    <row r="145" spans="1:26" s="76" customFormat="1" hidden="1" x14ac:dyDescent="0.3">
      <c r="A145" s="183"/>
      <c r="B145" s="71"/>
      <c r="C145" s="83"/>
      <c r="D145" s="89"/>
      <c r="F145" s="43"/>
      <c r="G145" s="43"/>
      <c r="H145" s="43"/>
      <c r="K145" s="43"/>
      <c r="O145" s="43"/>
      <c r="Q145" s="43"/>
      <c r="R145" s="43"/>
      <c r="S145" s="43"/>
      <c r="T145" s="43"/>
      <c r="U145" s="43"/>
      <c r="V145" s="54"/>
      <c r="W145" s="127"/>
      <c r="X145" s="43"/>
    </row>
    <row r="146" spans="1:26" s="76" customFormat="1" hidden="1" x14ac:dyDescent="0.3">
      <c r="A146" s="183"/>
      <c r="B146" s="71"/>
      <c r="C146" s="84"/>
      <c r="D146" s="90"/>
      <c r="F146" s="43"/>
      <c r="G146" s="43"/>
      <c r="H146" s="43"/>
      <c r="K146" s="43"/>
      <c r="O146" s="43"/>
      <c r="Q146" s="43"/>
      <c r="R146" s="43"/>
      <c r="S146" s="43"/>
      <c r="T146" s="43"/>
      <c r="U146" s="43"/>
      <c r="V146" s="54"/>
      <c r="W146" s="127"/>
      <c r="X146" s="43"/>
    </row>
    <row r="147" spans="1:26" s="76" customFormat="1" hidden="1" x14ac:dyDescent="0.3">
      <c r="A147" s="183"/>
      <c r="B147" s="71"/>
      <c r="C147" s="85"/>
      <c r="D147" s="90"/>
      <c r="F147" s="43"/>
      <c r="G147" s="43"/>
      <c r="H147" s="43"/>
      <c r="K147" s="43"/>
      <c r="O147" s="43"/>
      <c r="Q147" s="43"/>
      <c r="R147" s="43"/>
      <c r="S147" s="43"/>
      <c r="T147" s="43"/>
      <c r="U147" s="43"/>
      <c r="V147" s="54"/>
      <c r="W147" s="127"/>
      <c r="X147" s="43"/>
    </row>
    <row r="148" spans="1:26" s="76" customFormat="1" hidden="1" x14ac:dyDescent="0.3">
      <c r="A148" s="183"/>
      <c r="B148" s="71"/>
      <c r="C148" s="86"/>
      <c r="D148" s="91">
        <f>SUM(D145:D147)</f>
        <v>0</v>
      </c>
      <c r="F148" s="43"/>
      <c r="G148" s="43"/>
      <c r="H148" s="43"/>
      <c r="K148" s="43"/>
      <c r="O148" s="43"/>
      <c r="Q148" s="43"/>
      <c r="R148" s="43"/>
      <c r="S148" s="43"/>
      <c r="T148" s="43"/>
      <c r="U148" s="43"/>
      <c r="V148" s="54"/>
      <c r="W148" s="127"/>
      <c r="X148" s="43"/>
    </row>
    <row r="149" spans="1:26" s="76" customFormat="1" hidden="1" x14ac:dyDescent="0.3">
      <c r="A149" s="183"/>
      <c r="B149" s="71"/>
      <c r="C149" s="84"/>
      <c r="D149" s="90"/>
      <c r="F149" s="43"/>
      <c r="G149" s="43"/>
      <c r="H149" s="43"/>
      <c r="K149" s="43"/>
      <c r="O149" s="43"/>
      <c r="Q149" s="43"/>
      <c r="R149" s="43"/>
      <c r="S149" s="43"/>
      <c r="T149" s="43"/>
      <c r="U149" s="43"/>
      <c r="V149" s="54"/>
      <c r="W149" s="127"/>
      <c r="X149" s="43"/>
    </row>
    <row r="150" spans="1:26" s="76" customFormat="1" hidden="1" x14ac:dyDescent="0.3">
      <c r="A150" s="183"/>
      <c r="B150" s="71"/>
      <c r="C150" s="84"/>
      <c r="D150" s="90"/>
      <c r="F150" s="43"/>
      <c r="G150" s="43"/>
      <c r="H150" s="43"/>
      <c r="K150" s="43"/>
      <c r="O150" s="43"/>
      <c r="Q150" s="43"/>
      <c r="R150" s="43"/>
      <c r="S150" s="43"/>
      <c r="T150" s="43"/>
      <c r="U150" s="43"/>
      <c r="V150" s="54"/>
      <c r="W150" s="127"/>
      <c r="X150" s="43"/>
    </row>
    <row r="151" spans="1:26" s="76" customFormat="1" hidden="1" x14ac:dyDescent="0.3">
      <c r="A151" s="183"/>
      <c r="B151" s="71"/>
      <c r="C151" s="84"/>
      <c r="D151" s="90"/>
      <c r="F151" s="43"/>
      <c r="G151" s="43"/>
      <c r="H151" s="43"/>
      <c r="K151" s="43"/>
      <c r="O151" s="43"/>
      <c r="Q151" s="43"/>
      <c r="R151" s="43"/>
      <c r="S151" s="43"/>
      <c r="T151" s="43"/>
      <c r="U151" s="43"/>
      <c r="V151" s="54"/>
      <c r="W151" s="127"/>
      <c r="X151" s="43"/>
    </row>
    <row r="152" spans="1:26" s="76" customFormat="1" hidden="1" x14ac:dyDescent="0.3">
      <c r="A152" s="183"/>
      <c r="B152" s="71"/>
      <c r="C152" s="84"/>
      <c r="D152" s="90"/>
      <c r="F152" s="43"/>
      <c r="G152" s="43"/>
      <c r="H152" s="43"/>
      <c r="K152" s="43"/>
      <c r="O152" s="43"/>
      <c r="Q152" s="43"/>
      <c r="R152" s="43"/>
      <c r="S152" s="43"/>
      <c r="T152" s="43"/>
      <c r="U152" s="43"/>
      <c r="V152" s="54"/>
      <c r="W152" s="127"/>
      <c r="X152" s="43"/>
    </row>
    <row r="153" spans="1:26" s="76" customFormat="1" hidden="1" x14ac:dyDescent="0.3">
      <c r="A153" s="183"/>
      <c r="B153" s="71"/>
      <c r="C153" s="86"/>
      <c r="D153" s="91">
        <f>SUM(D150:D152)</f>
        <v>0</v>
      </c>
      <c r="F153" s="43"/>
      <c r="G153" s="43"/>
      <c r="H153" s="43"/>
      <c r="K153" s="43"/>
      <c r="O153" s="43"/>
      <c r="Q153" s="43"/>
      <c r="R153" s="43"/>
      <c r="S153" s="43"/>
      <c r="T153" s="43"/>
      <c r="U153" s="43"/>
      <c r="V153" s="54"/>
      <c r="W153" s="127"/>
      <c r="X153" s="43"/>
    </row>
    <row r="154" spans="1:26" s="76" customFormat="1" ht="15" hidden="1" thickBot="1" x14ac:dyDescent="0.35">
      <c r="A154" s="183"/>
      <c r="B154" s="71"/>
      <c r="C154" s="87"/>
      <c r="D154" s="96"/>
      <c r="F154" s="43"/>
      <c r="G154" s="43"/>
      <c r="H154" s="43"/>
      <c r="K154" s="43"/>
      <c r="O154" s="43"/>
      <c r="Q154" s="43"/>
      <c r="R154" s="43"/>
      <c r="S154" s="43"/>
      <c r="T154" s="43"/>
      <c r="U154" s="43"/>
      <c r="V154" s="54"/>
      <c r="W154" s="127"/>
      <c r="X154" s="43"/>
    </row>
    <row r="155" spans="1:26" s="76" customFormat="1" ht="15" hidden="1" thickBot="1" x14ac:dyDescent="0.35">
      <c r="A155" s="183"/>
      <c r="B155" s="71"/>
      <c r="C155" s="82"/>
      <c r="D155" s="92">
        <f>D148+D153</f>
        <v>0</v>
      </c>
      <c r="F155" s="43"/>
      <c r="G155" s="43"/>
      <c r="H155" s="43"/>
      <c r="K155" s="43"/>
      <c r="O155" s="43"/>
      <c r="Q155" s="43"/>
      <c r="R155" s="43"/>
      <c r="S155" s="43"/>
      <c r="T155" s="43"/>
      <c r="U155" s="43"/>
      <c r="V155" s="54"/>
      <c r="W155" s="127"/>
      <c r="X155" s="43"/>
    </row>
    <row r="156" spans="1:26" s="76" customFormat="1" ht="15" thickBot="1" x14ac:dyDescent="0.35">
      <c r="A156" s="183"/>
      <c r="B156" s="71"/>
      <c r="C156" s="82"/>
      <c r="D156" s="82"/>
      <c r="E156" s="415"/>
      <c r="F156" s="43"/>
      <c r="G156" s="43"/>
      <c r="H156" s="43"/>
      <c r="K156" s="43"/>
      <c r="O156" s="43"/>
      <c r="Q156" s="43"/>
      <c r="R156" s="43"/>
      <c r="S156" s="43"/>
      <c r="T156" s="43"/>
      <c r="U156" s="43"/>
      <c r="V156" s="54"/>
      <c r="W156" s="127"/>
      <c r="X156" s="43"/>
    </row>
    <row r="157" spans="1:26" s="43" customFormat="1" ht="15" thickBot="1" x14ac:dyDescent="0.35">
      <c r="A157" s="108"/>
      <c r="B157" s="624" t="s">
        <v>282</v>
      </c>
      <c r="C157" s="625"/>
      <c r="D157" s="338">
        <f>D143+D155</f>
        <v>-2545693.2199999983</v>
      </c>
      <c r="E157" s="48"/>
      <c r="V157" s="54"/>
      <c r="W157" s="127"/>
    </row>
    <row r="158" spans="1:26" s="76" customFormat="1" ht="15" thickBot="1" x14ac:dyDescent="0.35">
      <c r="A158" s="183"/>
      <c r="B158" s="111"/>
      <c r="C158" s="82"/>
      <c r="D158" s="413">
        <f>$D$24</f>
        <v>2025</v>
      </c>
      <c r="E158" s="416">
        <f>$E$24</f>
        <v>2024</v>
      </c>
      <c r="F158" s="636" t="s">
        <v>311</v>
      </c>
      <c r="G158" s="637"/>
      <c r="H158" s="43"/>
      <c r="I158" s="638" t="s">
        <v>319</v>
      </c>
      <c r="J158" s="639"/>
      <c r="K158" s="43"/>
      <c r="L158" s="118">
        <f>$D$24</f>
        <v>2025</v>
      </c>
      <c r="M158" s="118">
        <f>$E$24</f>
        <v>2024</v>
      </c>
      <c r="O158" s="640" t="s">
        <v>321</v>
      </c>
      <c r="P158" s="641"/>
      <c r="Q158" s="641"/>
      <c r="R158" s="641"/>
      <c r="S158" s="642"/>
      <c r="U158" s="43"/>
      <c r="V158" s="609" t="s">
        <v>544</v>
      </c>
      <c r="X158" s="43"/>
    </row>
    <row r="159" spans="1:26" s="156" customFormat="1" ht="15" thickBot="1" x14ac:dyDescent="0.35">
      <c r="A159" s="332" t="s">
        <v>343</v>
      </c>
      <c r="B159" s="333"/>
      <c r="C159" s="334"/>
      <c r="D159" s="236" t="s">
        <v>297</v>
      </c>
      <c r="E159" s="236" t="s">
        <v>297</v>
      </c>
      <c r="F159" s="236" t="s">
        <v>297</v>
      </c>
      <c r="G159" s="236" t="s">
        <v>254</v>
      </c>
      <c r="H159" s="47"/>
      <c r="I159" s="634" t="s">
        <v>403</v>
      </c>
      <c r="J159" s="238" t="s">
        <v>254</v>
      </c>
      <c r="K159" s="47"/>
      <c r="L159" s="649" t="s">
        <v>321</v>
      </c>
      <c r="M159" s="650"/>
      <c r="N159" s="76"/>
      <c r="O159" s="229" t="s">
        <v>252</v>
      </c>
      <c r="P159" s="244" t="s">
        <v>254</v>
      </c>
      <c r="Q159" s="47"/>
      <c r="R159" s="229" t="s">
        <v>251</v>
      </c>
      <c r="S159" s="244" t="s">
        <v>254</v>
      </c>
      <c r="U159" s="47"/>
      <c r="V159" s="610"/>
      <c r="W159" s="261" t="s">
        <v>299</v>
      </c>
      <c r="X159" s="631" t="s">
        <v>542</v>
      </c>
      <c r="Y159" s="631" t="s">
        <v>538</v>
      </c>
    </row>
    <row r="160" spans="1:26" s="156" customFormat="1" ht="15" thickBot="1" x14ac:dyDescent="0.35">
      <c r="A160" s="337"/>
      <c r="B160" s="335" t="s">
        <v>516</v>
      </c>
      <c r="C160" s="336"/>
      <c r="D160" s="158" t="s">
        <v>298</v>
      </c>
      <c r="E160" s="158" t="s">
        <v>298</v>
      </c>
      <c r="F160" s="158" t="s">
        <v>298</v>
      </c>
      <c r="G160" s="158" t="s">
        <v>298</v>
      </c>
      <c r="H160" s="47"/>
      <c r="I160" s="635"/>
      <c r="J160" s="239" t="s">
        <v>298</v>
      </c>
      <c r="K160" s="47"/>
      <c r="L160" s="651"/>
      <c r="M160" s="652"/>
      <c r="N160" s="76"/>
      <c r="O160" s="158" t="s">
        <v>298</v>
      </c>
      <c r="P160" s="158" t="s">
        <v>298</v>
      </c>
      <c r="Q160" s="47"/>
      <c r="R160" s="158" t="s">
        <v>298</v>
      </c>
      <c r="S160" s="158" t="s">
        <v>298</v>
      </c>
      <c r="U160" s="47"/>
      <c r="V160" s="611"/>
      <c r="W160" s="262" t="s">
        <v>298</v>
      </c>
      <c r="X160" s="632"/>
      <c r="Y160" s="632"/>
      <c r="Z160" s="76"/>
    </row>
    <row r="161" spans="1:26" s="76" customFormat="1" x14ac:dyDescent="0.3">
      <c r="A161" s="133" t="s">
        <v>293</v>
      </c>
      <c r="B161" s="221"/>
      <c r="C161" s="440" t="s">
        <v>379</v>
      </c>
      <c r="D161" s="363">
        <v>0</v>
      </c>
      <c r="E161" s="363">
        <v>0</v>
      </c>
      <c r="F161" s="232"/>
      <c r="G161" s="232"/>
      <c r="H161" s="45" t="s">
        <v>293</v>
      </c>
      <c r="I161" s="544"/>
      <c r="J161" s="251"/>
      <c r="K161" s="44">
        <f t="shared" ref="K161:K181" si="4">E161+I161+J161-F161-G161-D161</f>
        <v>0</v>
      </c>
      <c r="L161" s="532"/>
      <c r="M161" s="345"/>
      <c r="O161" s="347"/>
      <c r="P161" s="347"/>
      <c r="Q161" s="346"/>
      <c r="R161" s="347"/>
      <c r="S161" s="347"/>
      <c r="T161" s="76">
        <f>M161-O161-P161+R161+S161-L161</f>
        <v>0</v>
      </c>
      <c r="U161" s="43"/>
      <c r="V161" s="259">
        <f>L161-M161</f>
        <v>0</v>
      </c>
      <c r="W161" s="80">
        <v>0</v>
      </c>
      <c r="X161" s="464"/>
      <c r="Y161" s="292"/>
      <c r="Z161" s="156"/>
    </row>
    <row r="162" spans="1:26" s="76" customFormat="1" x14ac:dyDescent="0.3">
      <c r="A162" s="108" t="s">
        <v>291</v>
      </c>
      <c r="B162" s="247">
        <v>2611</v>
      </c>
      <c r="C162" s="441" t="s">
        <v>380</v>
      </c>
      <c r="D162" s="461">
        <v>1645875.27</v>
      </c>
      <c r="E162" s="461">
        <v>1645875.27</v>
      </c>
      <c r="F162" s="251">
        <f>D162-E162</f>
        <v>0</v>
      </c>
      <c r="G162" s="232"/>
      <c r="H162" s="43" t="s">
        <v>291</v>
      </c>
      <c r="I162" s="232"/>
      <c r="J162" s="232"/>
      <c r="K162" s="44">
        <f t="shared" si="4"/>
        <v>0</v>
      </c>
      <c r="L162" s="349">
        <v>828276.8</v>
      </c>
      <c r="M162" s="348">
        <v>757324.41</v>
      </c>
      <c r="O162" s="347"/>
      <c r="P162" s="347"/>
      <c r="Q162" s="346"/>
      <c r="R162" s="347"/>
      <c r="S162" s="347"/>
      <c r="T162" s="76">
        <f t="shared" ref="T162:T181" si="5">M162-O162-P162+R162+S162-L162</f>
        <v>-70952.390000000014</v>
      </c>
      <c r="U162" s="43"/>
      <c r="V162" s="250">
        <f t="shared" ref="V162:V181" si="6">L162-M162</f>
        <v>70952.390000000014</v>
      </c>
      <c r="W162" s="81">
        <v>817598.47</v>
      </c>
      <c r="X162" s="465">
        <f>W162-V162</f>
        <v>746646.08</v>
      </c>
      <c r="Y162" s="552"/>
    </row>
    <row r="163" spans="1:26" s="76" customFormat="1" x14ac:dyDescent="0.3">
      <c r="A163" s="108" t="s">
        <v>291</v>
      </c>
      <c r="B163" s="247">
        <v>2612</v>
      </c>
      <c r="C163" s="441" t="s">
        <v>381</v>
      </c>
      <c r="D163" s="461">
        <v>20313</v>
      </c>
      <c r="E163" s="461">
        <v>20313</v>
      </c>
      <c r="F163" s="251">
        <f t="shared" ref="F163:F181" si="7">D163-E163</f>
        <v>0</v>
      </c>
      <c r="G163" s="232"/>
      <c r="H163" s="43" t="s">
        <v>291</v>
      </c>
      <c r="I163" s="232"/>
      <c r="J163" s="232"/>
      <c r="K163" s="44">
        <f t="shared" si="4"/>
        <v>0</v>
      </c>
      <c r="L163" s="349">
        <v>20311</v>
      </c>
      <c r="M163" s="348">
        <v>20311</v>
      </c>
      <c r="O163" s="347"/>
      <c r="P163" s="347"/>
      <c r="Q163" s="346"/>
      <c r="R163" s="347"/>
      <c r="S163" s="347"/>
      <c r="T163" s="76">
        <f t="shared" si="5"/>
        <v>0</v>
      </c>
      <c r="U163" s="43"/>
      <c r="V163" s="250">
        <f t="shared" si="6"/>
        <v>0</v>
      </c>
      <c r="W163" s="81">
        <v>2</v>
      </c>
      <c r="X163" s="465">
        <f t="shared" ref="X163:X181" si="8">W163-V163</f>
        <v>2</v>
      </c>
      <c r="Y163" s="552"/>
      <c r="Z163" s="156"/>
    </row>
    <row r="164" spans="1:26" s="76" customFormat="1" x14ac:dyDescent="0.3">
      <c r="A164" s="108" t="s">
        <v>292</v>
      </c>
      <c r="B164" s="539">
        <v>2613</v>
      </c>
      <c r="C164" s="540" t="s">
        <v>382</v>
      </c>
      <c r="D164" s="541">
        <v>4496663.08</v>
      </c>
      <c r="E164" s="250">
        <v>4496663.08</v>
      </c>
      <c r="F164" s="232">
        <f t="shared" si="7"/>
        <v>0</v>
      </c>
      <c r="G164" s="232"/>
      <c r="H164" s="43" t="s">
        <v>292</v>
      </c>
      <c r="I164" s="232"/>
      <c r="J164" s="232"/>
      <c r="K164" s="44">
        <f t="shared" si="4"/>
        <v>0</v>
      </c>
      <c r="L164" s="349">
        <v>3830340.78</v>
      </c>
      <c r="M164" s="348">
        <v>3486762.53</v>
      </c>
      <c r="O164" s="347"/>
      <c r="P164" s="347"/>
      <c r="Q164" s="346"/>
      <c r="R164" s="347"/>
      <c r="S164" s="347"/>
      <c r="T164" s="76">
        <f t="shared" si="5"/>
        <v>-343578.25</v>
      </c>
      <c r="U164" s="43"/>
      <c r="V164" s="250">
        <f t="shared" si="6"/>
        <v>343578.25</v>
      </c>
      <c r="W164" s="81">
        <v>666322.30000000005</v>
      </c>
      <c r="X164" s="465">
        <f t="shared" si="8"/>
        <v>322744.05000000005</v>
      </c>
      <c r="Y164" s="552"/>
    </row>
    <row r="165" spans="1:26" s="76" customFormat="1" x14ac:dyDescent="0.3">
      <c r="A165" s="108" t="s">
        <v>308</v>
      </c>
      <c r="B165" s="247">
        <v>2614</v>
      </c>
      <c r="C165" s="441" t="s">
        <v>383</v>
      </c>
      <c r="D165" s="461">
        <v>473622.28</v>
      </c>
      <c r="E165" s="461">
        <v>473622.28</v>
      </c>
      <c r="F165" s="232">
        <f t="shared" si="7"/>
        <v>0</v>
      </c>
      <c r="G165" s="232"/>
      <c r="H165" s="43" t="s">
        <v>308</v>
      </c>
      <c r="I165" s="232"/>
      <c r="J165" s="232"/>
      <c r="K165" s="44">
        <f t="shared" si="4"/>
        <v>0</v>
      </c>
      <c r="L165" s="349">
        <v>348101.31</v>
      </c>
      <c r="M165" s="348">
        <v>335370.12</v>
      </c>
      <c r="O165" s="347"/>
      <c r="P165" s="347"/>
      <c r="Q165" s="346"/>
      <c r="R165" s="347"/>
      <c r="S165" s="347"/>
      <c r="T165" s="76">
        <f t="shared" si="5"/>
        <v>-12731.190000000002</v>
      </c>
      <c r="U165" s="43"/>
      <c r="V165" s="250">
        <f t="shared" si="6"/>
        <v>12731.190000000002</v>
      </c>
      <c r="W165" s="81">
        <v>125520.97</v>
      </c>
      <c r="X165" s="465">
        <f t="shared" si="8"/>
        <v>112789.78</v>
      </c>
      <c r="Y165" s="552"/>
      <c r="Z165" s="156"/>
    </row>
    <row r="166" spans="1:26" s="76" customFormat="1" ht="28.8" x14ac:dyDescent="0.3">
      <c r="A166" s="108" t="s">
        <v>293</v>
      </c>
      <c r="B166" s="247">
        <v>2619</v>
      </c>
      <c r="C166" s="441" t="s">
        <v>384</v>
      </c>
      <c r="D166" s="461">
        <v>198734.62</v>
      </c>
      <c r="E166" s="461">
        <v>198734.62</v>
      </c>
      <c r="F166" s="232">
        <f t="shared" si="7"/>
        <v>0</v>
      </c>
      <c r="G166" s="232"/>
      <c r="H166" s="43" t="s">
        <v>293</v>
      </c>
      <c r="I166" s="232"/>
      <c r="J166" s="232"/>
      <c r="K166" s="44">
        <f t="shared" si="4"/>
        <v>0</v>
      </c>
      <c r="L166" s="349">
        <v>169949.98</v>
      </c>
      <c r="M166" s="348">
        <v>166952.09</v>
      </c>
      <c r="O166" s="347"/>
      <c r="P166" s="347"/>
      <c r="Q166" s="346"/>
      <c r="R166" s="347"/>
      <c r="S166" s="347"/>
      <c r="T166" s="76">
        <f t="shared" si="5"/>
        <v>-2997.890000000014</v>
      </c>
      <c r="U166" s="43"/>
      <c r="V166" s="250">
        <f t="shared" si="6"/>
        <v>2997.890000000014</v>
      </c>
      <c r="W166" s="81">
        <v>28784.639999999999</v>
      </c>
      <c r="X166" s="465">
        <f t="shared" si="8"/>
        <v>25786.749999999985</v>
      </c>
      <c r="Y166" s="552"/>
    </row>
    <row r="167" spans="1:26" s="76" customFormat="1" x14ac:dyDescent="0.3">
      <c r="A167" s="108" t="s">
        <v>292</v>
      </c>
      <c r="B167" s="247">
        <v>2621</v>
      </c>
      <c r="C167" s="441" t="s">
        <v>385</v>
      </c>
      <c r="D167" s="461">
        <v>665349.06000000006</v>
      </c>
      <c r="E167" s="461">
        <v>665349.06000000006</v>
      </c>
      <c r="F167" s="232">
        <f t="shared" si="7"/>
        <v>0</v>
      </c>
      <c r="G167" s="232"/>
      <c r="H167" s="43" t="s">
        <v>292</v>
      </c>
      <c r="I167" s="232"/>
      <c r="J167" s="232"/>
      <c r="K167" s="44">
        <f t="shared" si="4"/>
        <v>0</v>
      </c>
      <c r="L167" s="349">
        <v>646542.49</v>
      </c>
      <c r="M167" s="348">
        <v>590149.79</v>
      </c>
      <c r="O167" s="347"/>
      <c r="P167" s="347"/>
      <c r="Q167" s="346"/>
      <c r="R167" s="347"/>
      <c r="S167" s="347"/>
      <c r="T167" s="76">
        <f t="shared" si="5"/>
        <v>-56392.699999999953</v>
      </c>
      <c r="U167" s="43"/>
      <c r="V167" s="250">
        <f t="shared" si="6"/>
        <v>56392.699999999953</v>
      </c>
      <c r="W167" s="81">
        <v>18806.57</v>
      </c>
      <c r="X167" s="465">
        <f t="shared" si="8"/>
        <v>-37586.129999999954</v>
      </c>
      <c r="Y167" s="552"/>
      <c r="Z167" s="156"/>
    </row>
    <row r="168" spans="1:26" s="76" customFormat="1" x14ac:dyDescent="0.3">
      <c r="A168" s="108" t="s">
        <v>292</v>
      </c>
      <c r="B168" s="247">
        <v>2623</v>
      </c>
      <c r="C168" s="441" t="s">
        <v>386</v>
      </c>
      <c r="D168" s="461">
        <v>9033.99</v>
      </c>
      <c r="E168" s="461">
        <v>9033.99</v>
      </c>
      <c r="F168" s="232">
        <f t="shared" si="7"/>
        <v>0</v>
      </c>
      <c r="G168" s="232"/>
      <c r="H168" s="43" t="s">
        <v>292</v>
      </c>
      <c r="I168" s="232"/>
      <c r="J168" s="232"/>
      <c r="K168" s="44">
        <f t="shared" si="4"/>
        <v>0</v>
      </c>
      <c r="L168" s="349">
        <v>9031.99</v>
      </c>
      <c r="M168" s="348">
        <v>9031.99</v>
      </c>
      <c r="O168" s="347"/>
      <c r="P168" s="347"/>
      <c r="Q168" s="346"/>
      <c r="R168" s="347"/>
      <c r="S168" s="347"/>
      <c r="T168" s="76">
        <f t="shared" si="5"/>
        <v>0</v>
      </c>
      <c r="U168" s="43"/>
      <c r="V168" s="250">
        <f t="shared" si="6"/>
        <v>0</v>
      </c>
      <c r="W168" s="81">
        <v>2</v>
      </c>
      <c r="X168" s="465">
        <f t="shared" si="8"/>
        <v>2</v>
      </c>
      <c r="Y168" s="552"/>
    </row>
    <row r="169" spans="1:26" s="76" customFormat="1" x14ac:dyDescent="0.3">
      <c r="A169" s="108" t="s">
        <v>308</v>
      </c>
      <c r="B169" s="247">
        <v>2631</v>
      </c>
      <c r="C169" s="441" t="s">
        <v>327</v>
      </c>
      <c r="D169" s="461">
        <v>29210</v>
      </c>
      <c r="E169" s="461">
        <v>29210</v>
      </c>
      <c r="F169" s="232">
        <f t="shared" si="7"/>
        <v>0</v>
      </c>
      <c r="G169" s="232"/>
      <c r="H169" s="43" t="s">
        <v>308</v>
      </c>
      <c r="I169" s="232"/>
      <c r="J169" s="232"/>
      <c r="K169" s="44">
        <f t="shared" si="4"/>
        <v>0</v>
      </c>
      <c r="L169" s="349">
        <v>15380.49</v>
      </c>
      <c r="M169" s="348">
        <v>13998.34</v>
      </c>
      <c r="O169" s="347"/>
      <c r="P169" s="347"/>
      <c r="Q169" s="346"/>
      <c r="R169" s="347"/>
      <c r="S169" s="347"/>
      <c r="T169" s="76">
        <f t="shared" si="5"/>
        <v>-1382.1499999999996</v>
      </c>
      <c r="U169" s="43"/>
      <c r="V169" s="250">
        <f t="shared" si="6"/>
        <v>1382.1499999999996</v>
      </c>
      <c r="W169" s="81">
        <v>13829.51</v>
      </c>
      <c r="X169" s="465">
        <f t="shared" si="8"/>
        <v>12447.36</v>
      </c>
      <c r="Y169" s="552"/>
      <c r="Z169" s="156"/>
    </row>
    <row r="170" spans="1:26" s="76" customFormat="1" x14ac:dyDescent="0.3">
      <c r="A170" s="126" t="s">
        <v>308</v>
      </c>
      <c r="B170" s="537">
        <v>2634</v>
      </c>
      <c r="C170" s="538" t="s">
        <v>535</v>
      </c>
      <c r="D170" s="541">
        <v>6490</v>
      </c>
      <c r="E170" s="461">
        <v>6490</v>
      </c>
      <c r="F170" s="232">
        <f t="shared" si="7"/>
        <v>0</v>
      </c>
      <c r="G170" s="232"/>
      <c r="H170" s="43"/>
      <c r="I170" s="232"/>
      <c r="J170" s="232"/>
      <c r="K170" s="44">
        <f t="shared" si="4"/>
        <v>0</v>
      </c>
      <c r="L170" s="349">
        <v>1189.6500000000001</v>
      </c>
      <c r="M170" s="348">
        <v>865.2</v>
      </c>
      <c r="O170" s="347"/>
      <c r="P170" s="347"/>
      <c r="Q170" s="346"/>
      <c r="R170" s="347"/>
      <c r="S170" s="347"/>
      <c r="T170" s="76">
        <f t="shared" si="5"/>
        <v>-324.45000000000005</v>
      </c>
      <c r="U170" s="43"/>
      <c r="V170" s="250">
        <f t="shared" si="6"/>
        <v>324.45000000000005</v>
      </c>
      <c r="W170" s="81">
        <v>5300.35</v>
      </c>
      <c r="X170" s="465">
        <f t="shared" si="8"/>
        <v>4975.9000000000005</v>
      </c>
      <c r="Y170" s="552"/>
    </row>
    <row r="171" spans="1:26" s="76" customFormat="1" x14ac:dyDescent="0.3">
      <c r="A171" s="108" t="s">
        <v>309</v>
      </c>
      <c r="B171" s="247">
        <v>2641</v>
      </c>
      <c r="C171" s="441" t="s">
        <v>387</v>
      </c>
      <c r="D171" s="461">
        <v>19336366.620000001</v>
      </c>
      <c r="E171" s="461">
        <v>19336366.620000001</v>
      </c>
      <c r="F171" s="232">
        <f t="shared" si="7"/>
        <v>0</v>
      </c>
      <c r="G171" s="232"/>
      <c r="H171" s="43" t="s">
        <v>309</v>
      </c>
      <c r="I171" s="232"/>
      <c r="J171" s="232"/>
      <c r="K171" s="44">
        <f t="shared" si="4"/>
        <v>0</v>
      </c>
      <c r="L171" s="459">
        <v>16139106.779999999</v>
      </c>
      <c r="M171" s="349">
        <v>15500061.99</v>
      </c>
      <c r="O171" s="347"/>
      <c r="P171" s="347"/>
      <c r="Q171" s="346"/>
      <c r="R171" s="347"/>
      <c r="S171" s="347"/>
      <c r="T171" s="76">
        <f t="shared" si="5"/>
        <v>-639044.78999999911</v>
      </c>
      <c r="U171" s="43"/>
      <c r="V171" s="250">
        <f t="shared" si="6"/>
        <v>639044.78999999911</v>
      </c>
      <c r="W171" s="81">
        <v>3197259.84</v>
      </c>
      <c r="X171" s="465">
        <f t="shared" si="8"/>
        <v>2558215.0500000007</v>
      </c>
      <c r="Y171" s="552"/>
      <c r="Z171" s="156"/>
    </row>
    <row r="172" spans="1:26" s="76" customFormat="1" x14ac:dyDescent="0.3">
      <c r="A172" s="126" t="s">
        <v>545</v>
      </c>
      <c r="B172" s="537">
        <v>2647</v>
      </c>
      <c r="C172" s="538" t="s">
        <v>536</v>
      </c>
      <c r="D172" s="461">
        <v>18624</v>
      </c>
      <c r="E172" s="461">
        <v>18624</v>
      </c>
      <c r="F172" s="232">
        <f t="shared" si="7"/>
        <v>0</v>
      </c>
      <c r="G172" s="232"/>
      <c r="H172" s="43"/>
      <c r="I172" s="232"/>
      <c r="J172" s="232"/>
      <c r="K172" s="44"/>
      <c r="L172" s="349">
        <v>1629.51</v>
      </c>
      <c r="M172" s="349">
        <v>1163.94</v>
      </c>
      <c r="O172" s="347"/>
      <c r="P172" s="347"/>
      <c r="Q172" s="346"/>
      <c r="R172" s="347"/>
      <c r="S172" s="347"/>
      <c r="T172" s="76">
        <f t="shared" si="5"/>
        <v>-465.56999999999994</v>
      </c>
      <c r="U172" s="43"/>
      <c r="V172" s="250">
        <f t="shared" si="6"/>
        <v>465.56999999999994</v>
      </c>
      <c r="W172" s="81">
        <v>16994.490000000002</v>
      </c>
      <c r="X172" s="465">
        <f t="shared" si="8"/>
        <v>16528.920000000002</v>
      </c>
      <c r="Y172" s="552"/>
    </row>
    <row r="173" spans="1:26" s="76" customFormat="1" x14ac:dyDescent="0.3">
      <c r="A173" s="108" t="s">
        <v>308</v>
      </c>
      <c r="B173" s="247">
        <v>2652</v>
      </c>
      <c r="C173" s="441" t="s">
        <v>388</v>
      </c>
      <c r="D173" s="461">
        <v>237809.94</v>
      </c>
      <c r="E173" s="461">
        <v>237809.94</v>
      </c>
      <c r="F173" s="575"/>
      <c r="G173" s="232"/>
      <c r="H173" s="43" t="s">
        <v>308</v>
      </c>
      <c r="I173" s="232"/>
      <c r="J173" s="232"/>
      <c r="K173" s="44">
        <f t="shared" si="4"/>
        <v>0</v>
      </c>
      <c r="L173" s="349">
        <v>72445.22</v>
      </c>
      <c r="M173" s="348">
        <v>60554.93</v>
      </c>
      <c r="O173" s="347"/>
      <c r="P173" s="347"/>
      <c r="Q173" s="346"/>
      <c r="R173" s="347"/>
      <c r="S173" s="347"/>
      <c r="T173" s="76">
        <f t="shared" si="5"/>
        <v>-11890.29</v>
      </c>
      <c r="U173" s="43"/>
      <c r="V173" s="250">
        <f t="shared" si="6"/>
        <v>11890.29</v>
      </c>
      <c r="W173" s="81">
        <v>165364.72</v>
      </c>
      <c r="X173" s="465">
        <f t="shared" si="8"/>
        <v>153474.43</v>
      </c>
      <c r="Y173" s="552"/>
      <c r="Z173" s="156"/>
    </row>
    <row r="174" spans="1:26" s="76" customFormat="1" ht="28.8" x14ac:dyDescent="0.3">
      <c r="A174" s="108" t="s">
        <v>291</v>
      </c>
      <c r="B174" s="247">
        <v>2654</v>
      </c>
      <c r="C174" s="441" t="s">
        <v>389</v>
      </c>
      <c r="D174" s="461">
        <v>1077798</v>
      </c>
      <c r="E174" s="461">
        <v>1077798</v>
      </c>
      <c r="F174" s="232">
        <f t="shared" si="7"/>
        <v>0</v>
      </c>
      <c r="G174" s="232"/>
      <c r="H174" s="43" t="s">
        <v>291</v>
      </c>
      <c r="I174" s="232"/>
      <c r="J174" s="232"/>
      <c r="K174" s="44">
        <f t="shared" si="4"/>
        <v>0</v>
      </c>
      <c r="L174" s="349">
        <v>318355.57</v>
      </c>
      <c r="M174" s="348">
        <v>268241.37</v>
      </c>
      <c r="O174" s="347"/>
      <c r="P174" s="347"/>
      <c r="Q174" s="346"/>
      <c r="R174" s="347"/>
      <c r="S174" s="347"/>
      <c r="T174" s="76">
        <f t="shared" si="5"/>
        <v>-50114.200000000012</v>
      </c>
      <c r="U174" s="43"/>
      <c r="V174" s="250">
        <f t="shared" si="6"/>
        <v>50114.200000000012</v>
      </c>
      <c r="W174" s="81">
        <v>759442.43</v>
      </c>
      <c r="X174" s="465">
        <f t="shared" si="8"/>
        <v>709328.23</v>
      </c>
      <c r="Y174" s="552"/>
    </row>
    <row r="175" spans="1:26" s="256" customFormat="1" ht="28.8" x14ac:dyDescent="0.3">
      <c r="A175" s="252" t="s">
        <v>292</v>
      </c>
      <c r="B175" s="462">
        <v>2655</v>
      </c>
      <c r="C175" s="440" t="s">
        <v>390</v>
      </c>
      <c r="D175" s="463">
        <v>209014.38</v>
      </c>
      <c r="E175" s="463">
        <v>105174.38</v>
      </c>
      <c r="F175" s="575"/>
      <c r="G175" s="255"/>
      <c r="H175" s="254" t="s">
        <v>292</v>
      </c>
      <c r="I175" s="232">
        <v>103840</v>
      </c>
      <c r="J175" s="255"/>
      <c r="K175" s="44">
        <f t="shared" si="4"/>
        <v>0</v>
      </c>
      <c r="L175" s="533">
        <v>108032.8</v>
      </c>
      <c r="M175" s="350">
        <v>101855.17</v>
      </c>
      <c r="N175" s="76"/>
      <c r="O175" s="352"/>
      <c r="P175" s="352"/>
      <c r="Q175" s="351"/>
      <c r="R175" s="347">
        <v>2884.42</v>
      </c>
      <c r="S175" s="352"/>
      <c r="T175" s="76">
        <f t="shared" si="5"/>
        <v>-3293.2100000000064</v>
      </c>
      <c r="U175" s="254"/>
      <c r="V175" s="250">
        <f t="shared" si="6"/>
        <v>6177.6300000000047</v>
      </c>
      <c r="W175" s="253">
        <v>100981.58</v>
      </c>
      <c r="X175" s="465">
        <f t="shared" si="8"/>
        <v>94803.95</v>
      </c>
      <c r="Y175" s="552"/>
      <c r="Z175" s="156"/>
    </row>
    <row r="176" spans="1:26" s="76" customFormat="1" ht="28.8" x14ac:dyDescent="0.3">
      <c r="A176" s="108" t="s">
        <v>308</v>
      </c>
      <c r="B176" s="247">
        <v>2656</v>
      </c>
      <c r="C176" s="441" t="s">
        <v>391</v>
      </c>
      <c r="D176" s="461">
        <v>108498</v>
      </c>
      <c r="E176" s="461">
        <v>108498</v>
      </c>
      <c r="F176" s="232">
        <f t="shared" si="7"/>
        <v>0</v>
      </c>
      <c r="G176" s="232"/>
      <c r="H176" s="43" t="s">
        <v>308</v>
      </c>
      <c r="I176" s="232"/>
      <c r="J176" s="232"/>
      <c r="K176" s="44">
        <f t="shared" si="4"/>
        <v>0</v>
      </c>
      <c r="L176" s="349">
        <v>68712.850000000006</v>
      </c>
      <c r="M176" s="348">
        <v>63288.15</v>
      </c>
      <c r="O176" s="347"/>
      <c r="P176" s="347"/>
      <c r="Q176" s="346"/>
      <c r="R176" s="347"/>
      <c r="S176" s="347"/>
      <c r="T176" s="76">
        <f t="shared" si="5"/>
        <v>-5424.7000000000044</v>
      </c>
      <c r="U176" s="43"/>
      <c r="V176" s="250">
        <f t="shared" si="6"/>
        <v>5424.7000000000044</v>
      </c>
      <c r="W176" s="81">
        <v>39785.15</v>
      </c>
      <c r="X176" s="465">
        <f t="shared" si="8"/>
        <v>34360.449999999997</v>
      </c>
      <c r="Y176" s="552"/>
    </row>
    <row r="177" spans="1:26" s="76" customFormat="1" x14ac:dyDescent="0.3">
      <c r="A177" s="108" t="s">
        <v>308</v>
      </c>
      <c r="B177" s="247">
        <v>2657</v>
      </c>
      <c r="C177" s="441" t="s">
        <v>392</v>
      </c>
      <c r="D177" s="461">
        <v>7137.02</v>
      </c>
      <c r="E177" s="461">
        <v>7137.02</v>
      </c>
      <c r="F177" s="232">
        <f t="shared" si="7"/>
        <v>0</v>
      </c>
      <c r="G177" s="232"/>
      <c r="H177" s="43" t="s">
        <v>308</v>
      </c>
      <c r="I177" s="232"/>
      <c r="J177" s="232"/>
      <c r="K177" s="44">
        <f t="shared" si="4"/>
        <v>0</v>
      </c>
      <c r="L177" s="349">
        <v>5230.45</v>
      </c>
      <c r="M177" s="348">
        <v>4873.7</v>
      </c>
      <c r="O177" s="347"/>
      <c r="P177" s="347"/>
      <c r="Q177" s="346"/>
      <c r="R177" s="347"/>
      <c r="S177" s="347"/>
      <c r="T177" s="76">
        <f t="shared" si="5"/>
        <v>-356.75</v>
      </c>
      <c r="U177" s="43"/>
      <c r="V177" s="250">
        <f t="shared" si="6"/>
        <v>356.75</v>
      </c>
      <c r="W177" s="81">
        <v>1906.57</v>
      </c>
      <c r="X177" s="465">
        <f t="shared" si="8"/>
        <v>1549.82</v>
      </c>
      <c r="Y177" s="552"/>
      <c r="Z177" s="156"/>
    </row>
    <row r="178" spans="1:26" s="76" customFormat="1" x14ac:dyDescent="0.3">
      <c r="A178" s="108" t="s">
        <v>293</v>
      </c>
      <c r="B178" s="247">
        <v>2658</v>
      </c>
      <c r="C178" s="441" t="s">
        <v>329</v>
      </c>
      <c r="D178" s="461">
        <v>175722.82</v>
      </c>
      <c r="E178" s="461">
        <v>175722.82</v>
      </c>
      <c r="F178" s="232">
        <f t="shared" si="7"/>
        <v>0</v>
      </c>
      <c r="G178" s="232"/>
      <c r="H178" s="43" t="s">
        <v>293</v>
      </c>
      <c r="I178" s="232"/>
      <c r="J178" s="232"/>
      <c r="K178" s="44">
        <f t="shared" si="4"/>
        <v>0</v>
      </c>
      <c r="L178" s="349">
        <v>162999.06</v>
      </c>
      <c r="M178" s="348">
        <v>162007.91</v>
      </c>
      <c r="O178" s="347"/>
      <c r="P178" s="347"/>
      <c r="Q178" s="346"/>
      <c r="R178" s="347"/>
      <c r="S178" s="347"/>
      <c r="T178" s="76">
        <f t="shared" si="5"/>
        <v>-991.14999999999418</v>
      </c>
      <c r="U178" s="43"/>
      <c r="V178" s="250">
        <f t="shared" si="6"/>
        <v>991.14999999999418</v>
      </c>
      <c r="W178" s="81">
        <v>12723.76</v>
      </c>
      <c r="X178" s="465">
        <f t="shared" si="8"/>
        <v>11732.610000000006</v>
      </c>
      <c r="Y178" s="552"/>
    </row>
    <row r="179" spans="1:26" s="76" customFormat="1" x14ac:dyDescent="0.3">
      <c r="A179" s="108" t="s">
        <v>308</v>
      </c>
      <c r="B179" s="247">
        <v>2661</v>
      </c>
      <c r="C179" s="441" t="s">
        <v>393</v>
      </c>
      <c r="D179" s="461">
        <v>6903</v>
      </c>
      <c r="E179" s="461">
        <v>6903</v>
      </c>
      <c r="F179" s="232">
        <f t="shared" si="7"/>
        <v>0</v>
      </c>
      <c r="G179" s="232"/>
      <c r="H179" s="43" t="s">
        <v>308</v>
      </c>
      <c r="I179" s="232"/>
      <c r="J179" s="232"/>
      <c r="K179" s="44">
        <f t="shared" si="4"/>
        <v>0</v>
      </c>
      <c r="L179" s="349">
        <v>6900</v>
      </c>
      <c r="M179" s="348">
        <v>6900</v>
      </c>
      <c r="O179" s="347"/>
      <c r="P179" s="347"/>
      <c r="Q179" s="346"/>
      <c r="R179" s="347"/>
      <c r="S179" s="347"/>
      <c r="T179" s="76">
        <f t="shared" si="5"/>
        <v>0</v>
      </c>
      <c r="U179" s="43"/>
      <c r="V179" s="250">
        <f t="shared" si="6"/>
        <v>0</v>
      </c>
      <c r="W179" s="81">
        <v>3</v>
      </c>
      <c r="X179" s="465">
        <f t="shared" si="8"/>
        <v>3</v>
      </c>
      <c r="Y179" s="552"/>
      <c r="Z179" s="156"/>
    </row>
    <row r="180" spans="1:26" s="156" customFormat="1" x14ac:dyDescent="0.3">
      <c r="A180" s="245" t="s">
        <v>308</v>
      </c>
      <c r="B180" s="247">
        <v>2662</v>
      </c>
      <c r="C180" s="441" t="s">
        <v>375</v>
      </c>
      <c r="D180" s="248">
        <v>129406.18</v>
      </c>
      <c r="E180" s="248">
        <v>129406.18</v>
      </c>
      <c r="F180" s="249">
        <f t="shared" si="7"/>
        <v>0</v>
      </c>
      <c r="G180" s="249"/>
      <c r="H180" s="156" t="s">
        <v>308</v>
      </c>
      <c r="I180" s="249"/>
      <c r="J180" s="249"/>
      <c r="K180" s="44">
        <f t="shared" si="4"/>
        <v>0</v>
      </c>
      <c r="L180" s="349">
        <v>97053.89</v>
      </c>
      <c r="M180" s="353">
        <v>84113.37</v>
      </c>
      <c r="N180" s="76"/>
      <c r="O180" s="355"/>
      <c r="P180" s="355"/>
      <c r="Q180" s="354"/>
      <c r="R180" s="347"/>
      <c r="S180" s="355"/>
      <c r="T180" s="76">
        <f t="shared" si="5"/>
        <v>-12940.520000000004</v>
      </c>
      <c r="V180" s="250">
        <f t="shared" si="6"/>
        <v>12940.520000000004</v>
      </c>
      <c r="W180" s="90">
        <v>32352.3</v>
      </c>
      <c r="X180" s="465">
        <f t="shared" si="8"/>
        <v>19411.779999999995</v>
      </c>
      <c r="Y180" s="552"/>
      <c r="Z180" s="76"/>
    </row>
    <row r="181" spans="1:26" s="76" customFormat="1" ht="29.4" thickBot="1" x14ac:dyDescent="0.35">
      <c r="A181" s="108" t="s">
        <v>291</v>
      </c>
      <c r="B181" s="247">
        <v>269502</v>
      </c>
      <c r="C181" s="441" t="s">
        <v>394</v>
      </c>
      <c r="D181" s="461">
        <v>94300</v>
      </c>
      <c r="E181" s="418">
        <v>94300</v>
      </c>
      <c r="F181" s="232">
        <f t="shared" si="7"/>
        <v>0</v>
      </c>
      <c r="G181" s="232"/>
      <c r="H181" s="43" t="s">
        <v>291</v>
      </c>
      <c r="I181" s="545"/>
      <c r="J181" s="232"/>
      <c r="K181" s="44">
        <f t="shared" si="4"/>
        <v>0</v>
      </c>
      <c r="L181" s="349">
        <v>0</v>
      </c>
      <c r="M181" s="348">
        <v>0</v>
      </c>
      <c r="O181" s="347"/>
      <c r="P181" s="347"/>
      <c r="Q181" s="346"/>
      <c r="R181" s="347">
        <v>0</v>
      </c>
      <c r="S181" s="347"/>
      <c r="T181" s="76">
        <f t="shared" si="5"/>
        <v>0</v>
      </c>
      <c r="U181" s="43"/>
      <c r="V181" s="260">
        <f t="shared" si="6"/>
        <v>0</v>
      </c>
      <c r="W181" s="81">
        <v>94300</v>
      </c>
      <c r="X181" s="465">
        <f t="shared" si="8"/>
        <v>94300</v>
      </c>
      <c r="Y181" s="553"/>
      <c r="Z181" s="156"/>
    </row>
    <row r="182" spans="1:26" s="76" customFormat="1" ht="15" thickBot="1" x14ac:dyDescent="0.35">
      <c r="A182" s="108"/>
      <c r="B182" s="629" t="s">
        <v>401</v>
      </c>
      <c r="C182" s="630"/>
      <c r="D182" s="543">
        <f>SUM(D161:D181)</f>
        <v>28946871.260000002</v>
      </c>
      <c r="E182" s="511">
        <f>SUM(E161:E181)</f>
        <v>28843031.260000002</v>
      </c>
      <c r="F182" s="235">
        <f>SUM(F161:F181)</f>
        <v>0</v>
      </c>
      <c r="G182" s="235">
        <f>SUM(G161:G181)</f>
        <v>0</v>
      </c>
      <c r="H182" s="222"/>
      <c r="I182" s="240">
        <f>SUM(I161:I181)</f>
        <v>103840</v>
      </c>
      <c r="J182" s="240">
        <f>SUM(J161:J181)</f>
        <v>0</v>
      </c>
      <c r="K182" s="222"/>
      <c r="L182" s="542">
        <f>SUM(L161:L181)</f>
        <v>22849590.620000001</v>
      </c>
      <c r="M182" s="93">
        <f>SUM(M161:M181)</f>
        <v>21633826.000000004</v>
      </c>
      <c r="O182" s="57">
        <f>SUM(O161:O181)</f>
        <v>0</v>
      </c>
      <c r="P182" s="57">
        <f>SUM(P161:P181)</f>
        <v>0</v>
      </c>
      <c r="Q182" s="222"/>
      <c r="R182" s="233">
        <f>SUM(R161:R181)</f>
        <v>2884.42</v>
      </c>
      <c r="S182" s="233">
        <f>SUM(S161:S181)</f>
        <v>0</v>
      </c>
      <c r="U182" s="43"/>
      <c r="V182" s="228">
        <f>SUM(V161:V181)</f>
        <v>1215764.6199999989</v>
      </c>
      <c r="W182" s="258">
        <f>SUM(W161:W181)</f>
        <v>6097280.6500000004</v>
      </c>
      <c r="X182" s="258">
        <f>SUM(X161:X181)</f>
        <v>4881516.0300000021</v>
      </c>
      <c r="Y182" s="258">
        <f>SUM(Y161:Y181)</f>
        <v>0</v>
      </c>
    </row>
    <row r="183" spans="1:26" s="76" customFormat="1" x14ac:dyDescent="0.3">
      <c r="A183" s="108"/>
      <c r="B183" s="111"/>
      <c r="C183" s="82" t="s">
        <v>543</v>
      </c>
      <c r="D183" s="82"/>
      <c r="E183" s="415">
        <f>D182-E182</f>
        <v>103840</v>
      </c>
      <c r="F183" s="222"/>
      <c r="G183" s="222"/>
      <c r="H183" s="222"/>
      <c r="I183" s="223">
        <f>SUM(I182:J182)-E183</f>
        <v>0</v>
      </c>
      <c r="J183" s="223"/>
      <c r="K183" s="222"/>
      <c r="L183" s="156"/>
      <c r="M183" s="554">
        <f>L182-M182</f>
        <v>1215764.6199999973</v>
      </c>
      <c r="N183" s="223"/>
      <c r="O183" s="222"/>
      <c r="P183" s="222"/>
      <c r="Q183" s="222"/>
      <c r="R183" s="343"/>
      <c r="S183" s="222"/>
      <c r="U183" s="43"/>
      <c r="W183" s="550">
        <v>8293994.4900000002</v>
      </c>
      <c r="Z183" s="395" t="s">
        <v>288</v>
      </c>
    </row>
    <row r="184" spans="1:26" s="76" customFormat="1" x14ac:dyDescent="0.3">
      <c r="A184" s="108"/>
      <c r="B184" s="111"/>
      <c r="C184" s="82"/>
      <c r="D184" s="442" t="s">
        <v>317</v>
      </c>
      <c r="E184" s="415"/>
      <c r="F184" s="224" t="s">
        <v>314</v>
      </c>
      <c r="G184" s="225">
        <f>F182-G183</f>
        <v>0</v>
      </c>
      <c r="H184" s="222"/>
      <c r="J184" s="225"/>
      <c r="K184" s="222"/>
      <c r="L184" s="156"/>
      <c r="N184" s="225"/>
      <c r="P184" s="225"/>
      <c r="Q184" s="225"/>
      <c r="R184" s="225"/>
      <c r="S184" s="225"/>
      <c r="U184" s="43"/>
      <c r="W184" s="551">
        <f>W183-W182</f>
        <v>2196713.84</v>
      </c>
      <c r="X184" s="43"/>
    </row>
    <row r="185" spans="1:26" s="156" customFormat="1" x14ac:dyDescent="0.3">
      <c r="A185" s="242"/>
      <c r="B185" s="155" t="s">
        <v>300</v>
      </c>
      <c r="C185" s="243"/>
      <c r="U185" s="47"/>
      <c r="V185" s="47"/>
      <c r="W185" s="47"/>
      <c r="X185" s="43"/>
    </row>
    <row r="186" spans="1:26" s="156" customFormat="1" ht="15" thickBot="1" x14ac:dyDescent="0.35">
      <c r="A186" s="242"/>
      <c r="B186" s="152" t="s">
        <v>516</v>
      </c>
      <c r="C186" s="243"/>
      <c r="I186" s="224" t="s">
        <v>315</v>
      </c>
      <c r="O186" s="224" t="s">
        <v>316</v>
      </c>
      <c r="U186" s="47"/>
      <c r="V186" s="224" t="s">
        <v>318</v>
      </c>
      <c r="W186" s="47"/>
      <c r="X186" s="43"/>
      <c r="Y186" s="76"/>
      <c r="Z186" s="76"/>
    </row>
    <row r="187" spans="1:26" s="76" customFormat="1" x14ac:dyDescent="0.3">
      <c r="A187" s="108" t="s">
        <v>310</v>
      </c>
      <c r="C187" s="443" t="s">
        <v>301</v>
      </c>
      <c r="D187" s="417">
        <v>2500000</v>
      </c>
      <c r="E187" s="417">
        <v>2500000</v>
      </c>
      <c r="F187" s="226"/>
      <c r="G187" s="226"/>
      <c r="H187" s="222" t="s">
        <v>310</v>
      </c>
      <c r="I187" s="226"/>
      <c r="J187" s="226"/>
      <c r="K187" s="222" t="s">
        <v>310</v>
      </c>
      <c r="L187" s="534">
        <v>1125225.1100000001</v>
      </c>
      <c r="M187" s="226">
        <v>1100585.1499999999</v>
      </c>
      <c r="N187" s="223"/>
      <c r="O187" s="226"/>
      <c r="P187" s="226"/>
      <c r="Q187" s="222"/>
      <c r="R187" s="226"/>
      <c r="S187" s="226"/>
      <c r="T187" s="76">
        <f>M187-O187-P187+R187+S187-L187</f>
        <v>-24639.960000000196</v>
      </c>
      <c r="U187" s="43"/>
      <c r="V187" s="226">
        <f t="shared" ref="V187" si="9">L187-M187</f>
        <v>24639.960000000196</v>
      </c>
      <c r="W187" s="226">
        <v>1374773.89</v>
      </c>
      <c r="X187" s="226">
        <f>W187-V187</f>
        <v>1350133.9299999997</v>
      </c>
      <c r="Y187" s="76">
        <f>W187-X187</f>
        <v>24639.960000000196</v>
      </c>
    </row>
    <row r="188" spans="1:26" s="76" customFormat="1" ht="15" thickBot="1" x14ac:dyDescent="0.35">
      <c r="A188" s="108"/>
      <c r="B188" s="153"/>
      <c r="C188" s="440"/>
      <c r="D188" s="418"/>
      <c r="E188" s="418"/>
      <c r="F188" s="227"/>
      <c r="G188" s="227"/>
      <c r="H188" s="222"/>
      <c r="I188" s="227"/>
      <c r="J188" s="227"/>
      <c r="K188" s="222"/>
      <c r="L188" s="535"/>
      <c r="M188" s="227"/>
      <c r="N188" s="223"/>
      <c r="O188" s="227"/>
      <c r="P188" s="227"/>
      <c r="Q188" s="222"/>
      <c r="R188" s="227"/>
      <c r="S188" s="227"/>
      <c r="U188" s="43"/>
      <c r="V188" s="227"/>
      <c r="W188" s="227"/>
      <c r="X188" s="227"/>
    </row>
    <row r="189" spans="1:26" s="76" customFormat="1" ht="15" thickBot="1" x14ac:dyDescent="0.35">
      <c r="A189" s="183"/>
      <c r="B189" s="629" t="s">
        <v>401</v>
      </c>
      <c r="C189" s="630"/>
      <c r="D189" s="444">
        <f>SUM(D187:D188)</f>
        <v>2500000</v>
      </c>
      <c r="E189" s="444">
        <f>SUM(E187:E188)</f>
        <v>2500000</v>
      </c>
      <c r="F189" s="228">
        <f>SUM(F187:F188)</f>
        <v>0</v>
      </c>
      <c r="G189" s="228">
        <f>SUM(G187:G188)</f>
        <v>0</v>
      </c>
      <c r="H189" s="222"/>
      <c r="I189" s="228">
        <f>SUM(I187:I188)</f>
        <v>0</v>
      </c>
      <c r="J189" s="228">
        <f>SUM(J187:J188)</f>
        <v>0</v>
      </c>
      <c r="K189" s="222"/>
      <c r="L189" s="263">
        <f>SUM(L187:L188)</f>
        <v>1125225.1100000001</v>
      </c>
      <c r="M189" s="228">
        <f>SUM(M187:M188)</f>
        <v>1100585.1499999999</v>
      </c>
      <c r="N189" s="223"/>
      <c r="O189" s="228">
        <f>SUM(O187:O188)</f>
        <v>0</v>
      </c>
      <c r="P189" s="228">
        <f>SUM(P187:P188)</f>
        <v>0</v>
      </c>
      <c r="Q189" s="222"/>
      <c r="R189" s="228">
        <f>SUM(R187:R188)</f>
        <v>0</v>
      </c>
      <c r="S189" s="228">
        <f>SUM(S187:S188)</f>
        <v>0</v>
      </c>
      <c r="U189" s="43"/>
      <c r="V189" s="228">
        <f>SUM(V187:V188)</f>
        <v>24639.960000000196</v>
      </c>
      <c r="W189" s="228">
        <f>SUM(W187:W188)</f>
        <v>1374773.89</v>
      </c>
      <c r="X189" s="228">
        <f>SUM(X187:X188)</f>
        <v>1350133.9299999997</v>
      </c>
      <c r="Z189" s="395" t="s">
        <v>540</v>
      </c>
    </row>
    <row r="190" spans="1:26" s="76" customFormat="1" ht="15" thickBot="1" x14ac:dyDescent="0.35">
      <c r="A190" s="183"/>
      <c r="B190" s="111"/>
      <c r="C190" s="82"/>
      <c r="D190" s="415"/>
      <c r="E190" s="415"/>
      <c r="H190" s="223"/>
      <c r="I190" s="223"/>
      <c r="J190" s="223"/>
      <c r="K190" s="223"/>
      <c r="L190" s="223"/>
      <c r="M190" s="223"/>
      <c r="N190" s="223"/>
      <c r="O190" s="223"/>
      <c r="P190" s="223"/>
      <c r="Q190" s="222"/>
      <c r="R190" s="223"/>
      <c r="S190" s="223"/>
      <c r="V190" s="223"/>
      <c r="W190" s="223"/>
      <c r="Z190" s="43" t="s">
        <v>539</v>
      </c>
    </row>
    <row r="191" spans="1:26" s="76" customFormat="1" ht="15" thickBot="1" x14ac:dyDescent="0.35">
      <c r="A191" s="183"/>
      <c r="B191" s="111"/>
      <c r="C191" s="257" t="s">
        <v>402</v>
      </c>
      <c r="D191" s="444">
        <f>D182+D189</f>
        <v>31446871.260000002</v>
      </c>
      <c r="E191" s="444">
        <f>E182+E189</f>
        <v>31343031.260000002</v>
      </c>
      <c r="F191" s="237">
        <f>F182+F189</f>
        <v>0</v>
      </c>
      <c r="G191" s="235">
        <f>G182+G189</f>
        <v>0</v>
      </c>
      <c r="H191" s="222"/>
      <c r="I191" s="240">
        <f>I182+I189</f>
        <v>103840</v>
      </c>
      <c r="J191" s="240">
        <f>J182+J189</f>
        <v>0</v>
      </c>
      <c r="L191" s="234">
        <f>L182+L189</f>
        <v>23974815.73</v>
      </c>
      <c r="M191" s="234">
        <f>M182+M189</f>
        <v>22734411.150000002</v>
      </c>
      <c r="N191" s="223"/>
      <c r="O191" s="241">
        <f>O182+O189</f>
        <v>0</v>
      </c>
      <c r="P191" s="57">
        <f>P182+P189</f>
        <v>0</v>
      </c>
      <c r="Q191" s="222"/>
      <c r="R191" s="234">
        <f>R182+R189</f>
        <v>2884.42</v>
      </c>
      <c r="S191" s="234">
        <f>S182+S189</f>
        <v>0</v>
      </c>
      <c r="T191" s="76">
        <f>M191-O191-P191+R191+S191-L191</f>
        <v>-1237520.1599999964</v>
      </c>
      <c r="U191" s="43"/>
      <c r="V191" s="228">
        <f>V182+V189</f>
        <v>1240404.5799999991</v>
      </c>
      <c r="W191" s="558">
        <f>W182+W189</f>
        <v>7472054.54</v>
      </c>
      <c r="X191" s="43">
        <f>W191-V191</f>
        <v>6231649.9600000009</v>
      </c>
    </row>
    <row r="192" spans="1:26" s="43" customFormat="1" x14ac:dyDescent="0.3">
      <c r="A192" s="108"/>
      <c r="C192" s="48"/>
      <c r="D192" s="48"/>
      <c r="E192" s="44"/>
      <c r="F192" s="126"/>
      <c r="G192" s="43">
        <f>D191-F191</f>
        <v>31446871.260000002</v>
      </c>
      <c r="I192" s="178"/>
      <c r="M192" s="554">
        <f>L191-M191</f>
        <v>1240404.5799999982</v>
      </c>
      <c r="Q192" s="48"/>
      <c r="T192" s="76"/>
      <c r="X192" s="550">
        <f>X182+X189</f>
        <v>6231649.9600000018</v>
      </c>
    </row>
    <row r="193" spans="1:24" s="43" customFormat="1" x14ac:dyDescent="0.3">
      <c r="A193" s="108"/>
      <c r="B193" s="246" t="s">
        <v>454</v>
      </c>
      <c r="C193" s="50"/>
      <c r="D193" s="119">
        <v>2025</v>
      </c>
      <c r="E193" s="119">
        <f>$D$24</f>
        <v>2025</v>
      </c>
      <c r="F193" s="118">
        <f>$E$24</f>
        <v>2024</v>
      </c>
      <c r="G193" s="43">
        <f>D117+G192</f>
        <v>31446871.260000002</v>
      </c>
      <c r="I193" s="44">
        <f>E162</f>
        <v>1645875.27</v>
      </c>
      <c r="M193" s="555" t="s">
        <v>541</v>
      </c>
      <c r="Q193" s="48"/>
      <c r="R193" s="48"/>
      <c r="S193" s="48"/>
      <c r="T193" s="76">
        <f>L182-M182</f>
        <v>1215764.6199999973</v>
      </c>
    </row>
    <row r="194" spans="1:24" s="32" customFormat="1" ht="16.2" thickBot="1" x14ac:dyDescent="0.35">
      <c r="A194" s="115"/>
      <c r="B194" s="32">
        <v>2259</v>
      </c>
      <c r="C194" s="82" t="s">
        <v>398</v>
      </c>
      <c r="D194" s="38"/>
      <c r="E194" s="38"/>
      <c r="F194" s="128"/>
      <c r="G194" s="35"/>
      <c r="H194" s="43"/>
      <c r="I194" s="316">
        <f>I162</f>
        <v>0</v>
      </c>
      <c r="M194" s="35"/>
      <c r="O194" s="44"/>
      <c r="P194" s="43"/>
      <c r="Q194" s="48"/>
      <c r="R194" s="48"/>
      <c r="S194" s="48"/>
      <c r="T194" s="76"/>
    </row>
    <row r="195" spans="1:24" s="32" customFormat="1" ht="16.2" thickBot="1" x14ac:dyDescent="0.35">
      <c r="A195" s="115"/>
      <c r="B195" s="115"/>
      <c r="C195" s="65" t="s">
        <v>263</v>
      </c>
      <c r="D195" s="56">
        <f>E214</f>
        <v>163000</v>
      </c>
      <c r="E195" s="56">
        <f>F214</f>
        <v>681200</v>
      </c>
      <c r="F195" s="132"/>
      <c r="G195" s="43">
        <v>64500</v>
      </c>
      <c r="H195" s="43"/>
      <c r="I195" s="44">
        <f>SUM(I193:I194)</f>
        <v>1645875.27</v>
      </c>
      <c r="L195" s="365">
        <f>SUBTOTAL(9,L162:L181)</f>
        <v>22849590.620000001</v>
      </c>
      <c r="M195" s="365">
        <f>SUBTOTAL(9,M162:M181)</f>
        <v>21633826.000000004</v>
      </c>
      <c r="N195" s="366"/>
      <c r="O195" s="365">
        <f>SUBTOTAL(9,O162:O181)</f>
        <v>0</v>
      </c>
      <c r="P195" s="365">
        <f>SUBTOTAL(9,P162:P181)</f>
        <v>0</v>
      </c>
      <c r="Q195" s="366"/>
      <c r="R195" s="365">
        <f>SUBTOTAL(9,R162:R181)</f>
        <v>2884.42</v>
      </c>
      <c r="S195" s="365">
        <f>SUBTOTAL(9,S162:S181)</f>
        <v>0</v>
      </c>
      <c r="T195" s="76"/>
      <c r="X195" s="35">
        <f>X187+V187</f>
        <v>1374773.89</v>
      </c>
    </row>
    <row r="196" spans="1:24" ht="16.2" thickBot="1" x14ac:dyDescent="0.35">
      <c r="C196" s="58" t="s">
        <v>264</v>
      </c>
      <c r="D196" s="59">
        <v>0</v>
      </c>
      <c r="E196" s="59">
        <v>66015</v>
      </c>
      <c r="F196" s="59"/>
      <c r="G196" s="43"/>
      <c r="H196" s="43"/>
      <c r="I196" s="44"/>
      <c r="J196" s="32"/>
      <c r="K196" s="32"/>
      <c r="L196" s="35"/>
      <c r="M196" s="32"/>
      <c r="N196" s="32"/>
      <c r="O196" s="43"/>
      <c r="P196" s="43"/>
      <c r="Q196" s="48"/>
      <c r="R196" s="48"/>
      <c r="S196" s="48"/>
      <c r="T196" s="76"/>
    </row>
    <row r="197" spans="1:24" ht="16.2" thickBot="1" x14ac:dyDescent="0.35">
      <c r="C197" s="58" t="s">
        <v>340</v>
      </c>
      <c r="D197" s="60">
        <v>0</v>
      </c>
      <c r="E197" s="59">
        <v>56766.666666666672</v>
      </c>
      <c r="F197" s="60"/>
      <c r="G197" s="44"/>
      <c r="H197" s="44"/>
      <c r="I197" s="316">
        <f>-F162</f>
        <v>0</v>
      </c>
      <c r="J197" s="32"/>
      <c r="K197" s="32"/>
      <c r="L197" s="43"/>
      <c r="M197" s="35"/>
      <c r="N197" s="32"/>
      <c r="O197" s="43"/>
      <c r="P197" s="43"/>
      <c r="Q197" s="48"/>
      <c r="R197" s="48"/>
      <c r="S197" s="48"/>
      <c r="T197" s="76"/>
      <c r="X197" s="185">
        <f>2500000-X187</f>
        <v>1149866.0700000003</v>
      </c>
    </row>
    <row r="198" spans="1:24" ht="16.2" thickBot="1" x14ac:dyDescent="0.35">
      <c r="C198" s="61" t="s">
        <v>265</v>
      </c>
      <c r="D198" s="62">
        <f>D195-SUM(D196:D197)</f>
        <v>163000</v>
      </c>
      <c r="E198" s="62">
        <f>E195-SUM(E196:E197)</f>
        <v>558418.33333333337</v>
      </c>
      <c r="F198" s="129">
        <f>F195-SUM(F196:F197)</f>
        <v>0</v>
      </c>
      <c r="G198" s="44"/>
      <c r="H198" s="44"/>
      <c r="I198" s="44">
        <f>SUM(I195:I197)</f>
        <v>1645875.27</v>
      </c>
      <c r="J198" s="32"/>
      <c r="K198" s="32"/>
      <c r="L198" s="48"/>
      <c r="M198" s="32"/>
      <c r="N198" s="32"/>
      <c r="O198" s="43"/>
      <c r="P198" s="43">
        <f>M164+R164</f>
        <v>3486762.53</v>
      </c>
      <c r="Q198" s="48"/>
      <c r="R198" s="48"/>
      <c r="S198" s="48"/>
      <c r="T198" s="76"/>
    </row>
    <row r="199" spans="1:24" ht="16.2" thickBot="1" x14ac:dyDescent="0.35">
      <c r="C199" s="63" t="s">
        <v>266</v>
      </c>
      <c r="D199" s="419"/>
      <c r="E199" s="419"/>
      <c r="F199" s="130"/>
      <c r="H199" s="314" t="s">
        <v>254</v>
      </c>
      <c r="I199" s="44">
        <f>-G162</f>
        <v>0</v>
      </c>
      <c r="J199" s="32"/>
      <c r="K199" s="32"/>
      <c r="L199" s="35"/>
      <c r="M199" s="385"/>
      <c r="N199" s="385"/>
      <c r="O199" s="43"/>
      <c r="P199" s="43"/>
      <c r="Q199" s="48"/>
      <c r="R199" s="48"/>
      <c r="S199" s="48"/>
      <c r="T199" s="48"/>
      <c r="X199">
        <v>1448693.78</v>
      </c>
    </row>
    <row r="200" spans="1:24" ht="16.2" thickBot="1" x14ac:dyDescent="0.35">
      <c r="C200" s="470" t="s">
        <v>267</v>
      </c>
      <c r="D200" s="474">
        <f>+E210</f>
        <v>13583.333333333334</v>
      </c>
      <c r="E200" s="585">
        <v>56766.666666666672</v>
      </c>
      <c r="F200" s="131"/>
      <c r="G200" s="44"/>
      <c r="H200" s="314" t="s">
        <v>517</v>
      </c>
      <c r="I200" s="315">
        <f>SUM(I198:I199)</f>
        <v>1645875.27</v>
      </c>
      <c r="J200" s="35"/>
      <c r="K200" s="32"/>
      <c r="L200" s="556"/>
      <c r="M200" s="385"/>
      <c r="N200" s="385"/>
      <c r="O200" s="43"/>
      <c r="P200" s="43"/>
      <c r="Q200" s="48"/>
      <c r="R200" s="48"/>
      <c r="S200" s="48"/>
      <c r="T200" s="48"/>
      <c r="X200" s="185">
        <f>X187</f>
        <v>1350133.9299999997</v>
      </c>
    </row>
    <row r="201" spans="1:24" ht="16.8" thickTop="1" thickBot="1" x14ac:dyDescent="0.35">
      <c r="C201" s="471" t="s">
        <v>268</v>
      </c>
      <c r="D201" s="420">
        <f>+E211</f>
        <v>13583.333333333334</v>
      </c>
      <c r="E201" s="583">
        <v>56766.666666666701</v>
      </c>
      <c r="F201" s="165"/>
      <c r="G201" s="44"/>
      <c r="H201" s="44"/>
      <c r="I201" s="44"/>
      <c r="J201" s="32"/>
      <c r="K201" s="32"/>
      <c r="L201" s="556"/>
      <c r="M201" s="385"/>
      <c r="N201" s="385"/>
      <c r="O201" s="43"/>
      <c r="P201" s="43"/>
      <c r="Q201" s="48"/>
      <c r="R201" s="48"/>
      <c r="S201" s="48"/>
      <c r="T201" s="48"/>
      <c r="X201" s="185">
        <f>X199-X200</f>
        <v>98559.850000000326</v>
      </c>
    </row>
    <row r="202" spans="1:24" ht="16.2" thickBot="1" x14ac:dyDescent="0.35">
      <c r="C202" s="471" t="s">
        <v>269</v>
      </c>
      <c r="D202" s="420"/>
      <c r="E202" s="583">
        <v>57850.000000000007</v>
      </c>
      <c r="F202" s="165"/>
      <c r="G202" s="44">
        <f>E198+E200*3</f>
        <v>728718.33333333337</v>
      </c>
      <c r="H202" s="44"/>
      <c r="I202" s="44"/>
      <c r="J202" s="32"/>
      <c r="K202" s="32"/>
      <c r="L202" s="557"/>
      <c r="M202" s="385"/>
      <c r="N202" s="385"/>
      <c r="O202" s="43"/>
      <c r="P202" s="43"/>
      <c r="Q202" s="48"/>
      <c r="R202" s="48"/>
      <c r="S202" s="48"/>
      <c r="T202" s="48"/>
    </row>
    <row r="203" spans="1:24" ht="15.6" x14ac:dyDescent="0.3">
      <c r="C203" s="471" t="s">
        <v>270</v>
      </c>
      <c r="D203" s="420"/>
      <c r="E203" s="583">
        <v>57850.000000000007</v>
      </c>
      <c r="F203" s="165"/>
      <c r="G203" s="68" t="s">
        <v>525</v>
      </c>
      <c r="H203" s="44"/>
      <c r="I203" s="44"/>
      <c r="J203" s="32"/>
      <c r="K203" s="32"/>
      <c r="L203" s="35"/>
      <c r="M203" s="385"/>
      <c r="N203" s="385"/>
      <c r="O203" s="43">
        <v>1075945.18</v>
      </c>
      <c r="P203" s="43"/>
      <c r="Q203" s="48"/>
      <c r="R203" s="48"/>
      <c r="S203" s="48"/>
      <c r="T203" s="48"/>
    </row>
    <row r="204" spans="1:24" ht="16.2" thickBot="1" x14ac:dyDescent="0.35">
      <c r="C204" s="471" t="s">
        <v>271</v>
      </c>
      <c r="D204" s="420"/>
      <c r="E204" s="583">
        <v>57850.000000000007</v>
      </c>
      <c r="F204" s="165"/>
      <c r="G204" s="44" t="s">
        <v>537</v>
      </c>
      <c r="H204" s="44"/>
      <c r="I204" s="44"/>
      <c r="J204" s="32"/>
      <c r="K204" s="32"/>
      <c r="L204" s="35"/>
      <c r="M204" s="385"/>
      <c r="N204" s="385"/>
      <c r="O204" s="43">
        <v>1424053.82</v>
      </c>
      <c r="P204" s="43"/>
      <c r="Q204" s="48"/>
      <c r="R204" s="48"/>
      <c r="S204" s="48"/>
      <c r="T204" s="48"/>
    </row>
    <row r="205" spans="1:24" ht="16.2" thickBot="1" x14ac:dyDescent="0.35">
      <c r="C205" s="471" t="s">
        <v>272</v>
      </c>
      <c r="D205" s="475"/>
      <c r="E205" s="583">
        <v>57850.000000000007</v>
      </c>
      <c r="F205" s="165"/>
      <c r="G205" s="166">
        <f>SUM(E200:E205)</f>
        <v>344933.33333333337</v>
      </c>
      <c r="H205" s="44"/>
      <c r="I205" s="44"/>
      <c r="J205" s="32"/>
      <c r="K205" s="32"/>
      <c r="L205" s="35"/>
      <c r="M205" s="385"/>
      <c r="N205" s="385"/>
      <c r="O205" s="43"/>
      <c r="P205" s="43"/>
      <c r="Q205" s="48"/>
      <c r="R205" s="48"/>
      <c r="S205" s="48"/>
      <c r="T205" s="48"/>
    </row>
    <row r="206" spans="1:24" ht="15.6" x14ac:dyDescent="0.3">
      <c r="C206" s="420" t="s">
        <v>273</v>
      </c>
      <c r="D206" s="472"/>
      <c r="E206" s="586">
        <v>57850.000000000007</v>
      </c>
      <c r="F206" s="165"/>
      <c r="G206" s="44"/>
      <c r="H206" s="44"/>
      <c r="I206" s="44"/>
      <c r="J206" s="32"/>
      <c r="K206" s="32"/>
      <c r="L206" s="35"/>
      <c r="M206" s="385"/>
      <c r="N206" s="385"/>
      <c r="O206" s="43"/>
      <c r="P206" s="43"/>
      <c r="Q206" s="48"/>
      <c r="R206" s="48"/>
      <c r="S206" s="48"/>
      <c r="T206" s="48"/>
    </row>
    <row r="207" spans="1:24" ht="15.6" x14ac:dyDescent="0.3">
      <c r="C207" s="420" t="s">
        <v>274</v>
      </c>
      <c r="D207" s="421"/>
      <c r="E207" s="586">
        <v>57850.000000000007</v>
      </c>
      <c r="F207" s="165"/>
      <c r="G207" s="44"/>
      <c r="H207" s="44"/>
      <c r="I207" s="44"/>
      <c r="J207" s="32"/>
      <c r="K207" s="32"/>
      <c r="L207" s="35"/>
      <c r="M207" s="385"/>
      <c r="N207" s="385"/>
      <c r="O207" s="43"/>
      <c r="P207" s="43"/>
      <c r="Q207" s="48"/>
      <c r="R207" s="48"/>
      <c r="S207" s="48"/>
      <c r="T207" s="48"/>
    </row>
    <row r="208" spans="1:24" ht="15.6" x14ac:dyDescent="0.3">
      <c r="C208" s="420" t="s">
        <v>275</v>
      </c>
      <c r="D208" s="421"/>
      <c r="E208" s="586">
        <v>57850.000000000007</v>
      </c>
      <c r="F208" s="165"/>
      <c r="G208" s="44"/>
      <c r="H208" s="44"/>
      <c r="J208" s="32"/>
      <c r="K208" s="32"/>
      <c r="L208" s="35"/>
      <c r="M208" s="385"/>
      <c r="N208" s="385"/>
      <c r="O208" s="43"/>
      <c r="P208" s="43"/>
      <c r="Q208" s="48"/>
      <c r="R208" s="48"/>
      <c r="S208" s="48"/>
      <c r="T208" s="48"/>
    </row>
    <row r="209" spans="1:20" ht="15.6" x14ac:dyDescent="0.3">
      <c r="C209" s="422" t="s">
        <v>276</v>
      </c>
      <c r="D209" s="421"/>
      <c r="E209" s="586">
        <v>57850.000000000007</v>
      </c>
      <c r="F209" s="165"/>
      <c r="G209" t="s">
        <v>546</v>
      </c>
      <c r="H209" s="44"/>
      <c r="I209" t="s">
        <v>547</v>
      </c>
      <c r="J209" s="32"/>
      <c r="K209" s="32"/>
      <c r="L209" s="35"/>
      <c r="M209" s="385"/>
      <c r="N209" s="385"/>
      <c r="O209" s="43"/>
      <c r="P209" s="43"/>
      <c r="Q209" s="48"/>
      <c r="R209" s="48"/>
      <c r="S209" s="48"/>
      <c r="T209" s="48"/>
    </row>
    <row r="210" spans="1:20" ht="15.6" x14ac:dyDescent="0.3">
      <c r="C210" s="423" t="s">
        <v>344</v>
      </c>
      <c r="D210" s="424"/>
      <c r="E210" s="586">
        <v>13583.333333333334</v>
      </c>
      <c r="F210" s="165">
        <v>66015</v>
      </c>
      <c r="G210" s="68" t="s">
        <v>529</v>
      </c>
      <c r="H210" s="44"/>
      <c r="I210" s="44">
        <f>D203*3</f>
        <v>0</v>
      </c>
      <c r="J210" s="32">
        <v>1465926.3833333338</v>
      </c>
      <c r="K210" s="32"/>
      <c r="L210" s="35"/>
      <c r="M210" s="32"/>
      <c r="N210" s="32"/>
      <c r="O210" s="43"/>
      <c r="P210" s="43"/>
      <c r="Q210" s="48"/>
      <c r="R210" s="48"/>
      <c r="S210" s="48"/>
      <c r="T210" s="48"/>
    </row>
    <row r="211" spans="1:20" ht="16.2" thickBot="1" x14ac:dyDescent="0.35">
      <c r="C211" s="587" t="s">
        <v>345</v>
      </c>
      <c r="D211" s="588"/>
      <c r="E211" s="589">
        <v>13583.333333333334</v>
      </c>
      <c r="F211" s="590">
        <v>56766.666666666672</v>
      </c>
      <c r="G211" s="44" t="s">
        <v>524</v>
      </c>
      <c r="H211" s="44"/>
      <c r="I211" s="44"/>
      <c r="J211" s="32">
        <v>1464301.3833333338</v>
      </c>
      <c r="K211" s="32"/>
      <c r="L211" s="35"/>
      <c r="M211" s="32"/>
      <c r="N211" s="32"/>
      <c r="O211" s="43"/>
      <c r="P211" s="43"/>
      <c r="Q211" s="48"/>
      <c r="R211" s="48"/>
      <c r="S211" s="48"/>
      <c r="T211" s="48"/>
    </row>
    <row r="212" spans="1:20" ht="15" thickBot="1" x14ac:dyDescent="0.35">
      <c r="C212" s="65" t="s">
        <v>452</v>
      </c>
      <c r="D212" s="66">
        <f>SUM(D200:D211)</f>
        <v>27166.666666666668</v>
      </c>
      <c r="E212" s="57">
        <f>SUM(E200:E211)</f>
        <v>603500.00000000012</v>
      </c>
      <c r="F212" s="548">
        <f>SUM(F200:F211)</f>
        <v>122781.66666666667</v>
      </c>
      <c r="G212" s="166">
        <f>+SUM(E206:E211)+SUM(D200:D205)</f>
        <v>285733.33333333337</v>
      </c>
      <c r="H212" s="44"/>
      <c r="I212" s="49">
        <f>E211*2</f>
        <v>27166.666666666668</v>
      </c>
      <c r="J212">
        <f>J210-J211</f>
        <v>1625</v>
      </c>
      <c r="O212" s="44"/>
      <c r="P212" s="43"/>
      <c r="Q212" s="48"/>
      <c r="R212" s="48"/>
      <c r="S212" s="48"/>
      <c r="T212" s="48"/>
    </row>
    <row r="213" spans="1:20" ht="15" thickBot="1" x14ac:dyDescent="0.35">
      <c r="C213" s="48"/>
      <c r="D213" s="48"/>
      <c r="E213" s="44"/>
      <c r="F213" s="126"/>
      <c r="H213" s="44"/>
      <c r="I213" s="44"/>
      <c r="J213">
        <f>J212/2</f>
        <v>812.5</v>
      </c>
      <c r="O213" s="44"/>
      <c r="P213" s="43"/>
      <c r="Q213" s="48"/>
      <c r="R213" s="48"/>
      <c r="S213" s="48"/>
      <c r="T213" s="48"/>
    </row>
    <row r="214" spans="1:20" ht="15" thickBot="1" x14ac:dyDescent="0.35">
      <c r="C214" s="94" t="s">
        <v>277</v>
      </c>
      <c r="D214" s="67"/>
      <c r="E214" s="49">
        <v>163000</v>
      </c>
      <c r="F214" s="166">
        <v>681200</v>
      </c>
      <c r="G214" s="368">
        <f>E214</f>
        <v>163000</v>
      </c>
      <c r="H214" s="44"/>
      <c r="I214" s="44"/>
      <c r="O214" s="44"/>
      <c r="P214" s="43"/>
      <c r="Q214" s="48"/>
      <c r="R214" s="48"/>
      <c r="S214" s="48"/>
      <c r="T214" s="48"/>
    </row>
    <row r="215" spans="1:20" ht="15" thickBot="1" x14ac:dyDescent="0.35">
      <c r="C215" s="48"/>
      <c r="D215" s="48">
        <f>D198+D220</f>
        <v>911861.66</v>
      </c>
      <c r="E215" s="44"/>
      <c r="F215" s="126"/>
      <c r="G215" s="367">
        <f>E192+D198</f>
        <v>163000</v>
      </c>
      <c r="H215" s="44"/>
      <c r="O215" s="44"/>
      <c r="P215" s="43"/>
      <c r="Q215" s="48"/>
      <c r="R215" s="48"/>
      <c r="S215" s="48"/>
      <c r="T215" s="48"/>
    </row>
    <row r="216" spans="1:20" s="32" customFormat="1" ht="16.2" thickBot="1" x14ac:dyDescent="0.35">
      <c r="A216" s="115"/>
      <c r="B216" s="32" t="s">
        <v>399</v>
      </c>
      <c r="C216" s="82" t="s">
        <v>400</v>
      </c>
      <c r="D216" s="38"/>
      <c r="E216" s="68"/>
      <c r="F216" s="512">
        <f>F214+E217</f>
        <v>1204405</v>
      </c>
      <c r="H216" s="43"/>
      <c r="I216" s="44"/>
      <c r="L216" s="35"/>
      <c r="O216" s="43"/>
      <c r="P216" s="43"/>
      <c r="Q216" s="48"/>
      <c r="R216" s="48"/>
      <c r="S216" s="48"/>
      <c r="T216" s="76"/>
    </row>
    <row r="217" spans="1:20" s="32" customFormat="1" ht="16.2" thickBot="1" x14ac:dyDescent="0.35">
      <c r="A217" s="115"/>
      <c r="B217" s="115"/>
      <c r="C217" s="65" t="s">
        <v>263</v>
      </c>
      <c r="D217" s="324"/>
      <c r="E217" s="49">
        <v>523205</v>
      </c>
      <c r="F217" s="132"/>
      <c r="G217" s="35"/>
      <c r="H217" s="43"/>
      <c r="I217" s="44"/>
      <c r="L217" s="35"/>
      <c r="O217" s="43"/>
      <c r="P217" s="43"/>
      <c r="Q217" s="48"/>
      <c r="R217" s="48"/>
      <c r="S217" s="48"/>
      <c r="T217" s="76"/>
    </row>
    <row r="218" spans="1:20" ht="16.2" thickBot="1" x14ac:dyDescent="0.35">
      <c r="C218" s="328" t="s">
        <v>264</v>
      </c>
      <c r="D218" s="325"/>
      <c r="E218" s="394"/>
      <c r="F218" s="318">
        <v>0</v>
      </c>
      <c r="G218" s="35">
        <v>17905.32</v>
      </c>
      <c r="H218" s="43"/>
      <c r="I218" s="44"/>
      <c r="J218" s="35">
        <f>E214+E220+E198</f>
        <v>939420.41333333333</v>
      </c>
      <c r="K218" s="32"/>
      <c r="L218" s="35">
        <v>41370.400000002199</v>
      </c>
      <c r="M218" s="32"/>
      <c r="N218" s="32"/>
      <c r="O218" s="43"/>
      <c r="P218" s="43"/>
      <c r="Q218" s="48"/>
      <c r="R218" s="48"/>
      <c r="S218" s="48"/>
      <c r="T218" s="76"/>
    </row>
    <row r="219" spans="1:20" ht="16.2" thickBot="1" x14ac:dyDescent="0.35">
      <c r="C219" s="328" t="s">
        <v>340</v>
      </c>
      <c r="D219" s="326"/>
      <c r="E219" s="549">
        <v>305202.92</v>
      </c>
      <c r="F219" s="319">
        <v>0</v>
      </c>
      <c r="G219" s="43">
        <v>586871.39</v>
      </c>
      <c r="H219" s="44"/>
      <c r="I219" s="44"/>
      <c r="J219" s="32"/>
      <c r="K219" s="32"/>
      <c r="L219" s="35"/>
      <c r="M219" s="32"/>
      <c r="N219" s="32"/>
      <c r="O219" s="43"/>
      <c r="P219" s="43"/>
      <c r="Q219" s="48"/>
      <c r="R219" s="48"/>
      <c r="S219" s="48"/>
      <c r="T219" s="76"/>
    </row>
    <row r="220" spans="1:20" ht="16.2" thickBot="1" x14ac:dyDescent="0.35">
      <c r="C220" s="65" t="s">
        <v>265</v>
      </c>
      <c r="D220" s="327">
        <f>E236</f>
        <v>748861.66</v>
      </c>
      <c r="E220" s="56">
        <f>E217-SUM(E218:E219)</f>
        <v>218002.08000000002</v>
      </c>
      <c r="F220" s="320">
        <f>F217-SUM(F218:F219)</f>
        <v>0</v>
      </c>
      <c r="G220" s="46">
        <f>SUM(G218:G219)</f>
        <v>604776.71</v>
      </c>
      <c r="H220" s="44"/>
      <c r="I220" s="44"/>
      <c r="J220" s="32"/>
      <c r="K220" s="32"/>
      <c r="L220" s="35"/>
      <c r="M220" s="32"/>
      <c r="N220" s="32"/>
      <c r="O220" s="43"/>
      <c r="P220" s="43"/>
      <c r="Q220" s="48"/>
      <c r="R220" s="48"/>
      <c r="S220" s="48"/>
      <c r="T220" s="76"/>
    </row>
    <row r="221" spans="1:20" ht="16.2" thickBot="1" x14ac:dyDescent="0.35">
      <c r="C221" s="82" t="s">
        <v>266</v>
      </c>
      <c r="D221" s="415"/>
      <c r="E221" s="395"/>
      <c r="F221" s="178"/>
      <c r="G221" s="44"/>
      <c r="H221" s="44"/>
      <c r="I221" s="44">
        <f>E218*12</f>
        <v>0</v>
      </c>
      <c r="J221" s="32"/>
      <c r="K221" s="32"/>
      <c r="L221" s="35"/>
      <c r="M221" s="32"/>
      <c r="N221" s="32"/>
      <c r="O221" s="43"/>
      <c r="P221" s="43"/>
      <c r="Q221" s="48"/>
      <c r="R221" s="48"/>
      <c r="S221" s="48"/>
      <c r="T221" s="48"/>
    </row>
    <row r="222" spans="1:20" ht="15.6" x14ac:dyDescent="0.3">
      <c r="C222" s="318" t="s">
        <v>267</v>
      </c>
      <c r="D222" s="474">
        <v>0</v>
      </c>
      <c r="E222" s="593">
        <v>62405.138333333336</v>
      </c>
      <c r="F222" s="131">
        <v>0</v>
      </c>
      <c r="H222" s="44"/>
      <c r="I222" s="44"/>
      <c r="J222" s="647" t="s">
        <v>479</v>
      </c>
      <c r="K222" s="32"/>
      <c r="L222" s="35"/>
      <c r="M222" s="32"/>
      <c r="N222" s="32"/>
      <c r="O222" s="43"/>
      <c r="P222" s="43"/>
      <c r="Q222" s="48"/>
      <c r="R222" s="48"/>
      <c r="S222" s="48"/>
      <c r="T222" s="48"/>
    </row>
    <row r="223" spans="1:20" ht="16.2" thickBot="1" x14ac:dyDescent="0.35">
      <c r="C223" s="329" t="s">
        <v>268</v>
      </c>
      <c r="D223" s="420"/>
      <c r="E223" s="473">
        <v>62405.138333333336</v>
      </c>
      <c r="F223" s="165">
        <v>0</v>
      </c>
      <c r="H223" s="44"/>
      <c r="I223" s="44">
        <f>SUM(E222:E225)</f>
        <v>249620.55333333334</v>
      </c>
      <c r="J223" s="648"/>
      <c r="K223" s="32"/>
      <c r="L223" s="35"/>
      <c r="M223" s="32"/>
      <c r="N223" s="32"/>
      <c r="O223" s="43"/>
      <c r="P223" s="43"/>
      <c r="Q223" s="48"/>
      <c r="R223" s="48"/>
      <c r="S223" s="48"/>
      <c r="T223" s="48"/>
    </row>
    <row r="224" spans="1:20" ht="15.6" x14ac:dyDescent="0.3">
      <c r="C224" s="329" t="s">
        <v>269</v>
      </c>
      <c r="D224" s="420"/>
      <c r="E224" s="473">
        <v>62405.138333333336</v>
      </c>
      <c r="F224" s="165">
        <v>0</v>
      </c>
      <c r="H224" s="44"/>
      <c r="I224" s="44"/>
      <c r="J224" s="321"/>
      <c r="K224" s="32"/>
      <c r="L224" s="35"/>
      <c r="M224" s="32"/>
      <c r="N224" s="32"/>
      <c r="O224" s="43"/>
      <c r="P224" s="43"/>
      <c r="Q224" s="48"/>
      <c r="R224" s="48"/>
      <c r="S224" s="48"/>
      <c r="T224" s="48"/>
    </row>
    <row r="225" spans="1:20" ht="15.6" x14ac:dyDescent="0.3">
      <c r="C225" s="329" t="s">
        <v>270</v>
      </c>
      <c r="D225" s="420"/>
      <c r="E225" s="473">
        <v>62405.138333333336</v>
      </c>
      <c r="F225" s="165">
        <v>0</v>
      </c>
      <c r="G225" s="68" t="s">
        <v>525</v>
      </c>
      <c r="H225" s="44"/>
      <c r="I225" s="44"/>
      <c r="J225" s="322"/>
      <c r="K225" s="32"/>
      <c r="L225" s="35"/>
      <c r="M225" s="32"/>
      <c r="N225" s="32"/>
      <c r="O225" s="43"/>
      <c r="P225" s="43"/>
      <c r="Q225" s="48"/>
      <c r="R225" s="48"/>
      <c r="S225" s="48"/>
      <c r="T225" s="48"/>
    </row>
    <row r="226" spans="1:20" ht="16.2" thickBot="1" x14ac:dyDescent="0.35">
      <c r="C226" s="329" t="s">
        <v>271</v>
      </c>
      <c r="D226" s="420"/>
      <c r="E226" s="473">
        <v>62405.138333333336</v>
      </c>
      <c r="F226" s="165">
        <v>0</v>
      </c>
      <c r="G226" s="44" t="s">
        <v>523</v>
      </c>
      <c r="H226" s="44"/>
      <c r="I226" s="44"/>
      <c r="J226" s="322"/>
      <c r="K226" s="32"/>
      <c r="L226" s="35"/>
      <c r="M226" s="32"/>
      <c r="N226" s="32"/>
      <c r="O226" s="43"/>
      <c r="P226" s="43"/>
      <c r="Q226" s="48"/>
      <c r="R226" s="48"/>
      <c r="S226" s="48"/>
      <c r="T226" s="48"/>
    </row>
    <row r="227" spans="1:20" ht="16.2" thickBot="1" x14ac:dyDescent="0.35">
      <c r="C227" s="329" t="s">
        <v>272</v>
      </c>
      <c r="D227" s="475"/>
      <c r="E227" s="473">
        <v>62405.138333333336</v>
      </c>
      <c r="F227" s="547">
        <f>$F$236/12</f>
        <v>43600.416666666664</v>
      </c>
      <c r="G227" s="592">
        <f>SUM(E222:E227)</f>
        <v>374430.82999999996</v>
      </c>
      <c r="H227" s="44"/>
      <c r="I227" s="44">
        <f>G205+G227</f>
        <v>719364.16333333333</v>
      </c>
      <c r="J227" s="322"/>
      <c r="K227" s="32"/>
      <c r="L227" s="35"/>
      <c r="M227" s="32"/>
      <c r="N227" s="32"/>
      <c r="O227" s="43"/>
      <c r="P227" s="43"/>
      <c r="Q227" s="48"/>
      <c r="R227" s="48"/>
      <c r="S227" s="48"/>
      <c r="T227" s="48"/>
    </row>
    <row r="228" spans="1:20" ht="15.6" x14ac:dyDescent="0.3">
      <c r="C228" s="329" t="s">
        <v>273</v>
      </c>
      <c r="D228" s="546"/>
      <c r="E228" s="473">
        <f>+E227</f>
        <v>62405.138333333336</v>
      </c>
      <c r="F228" s="165">
        <f t="shared" ref="F228:F233" si="10">$F$236/12</f>
        <v>43600.416666666664</v>
      </c>
      <c r="G228" s="44"/>
      <c r="H228" s="44"/>
      <c r="I228" s="44">
        <f>SUM(E228:E231)</f>
        <v>249620.55333333334</v>
      </c>
      <c r="J228" s="322"/>
      <c r="K228" s="32"/>
      <c r="L228" s="35"/>
      <c r="M228" s="32"/>
      <c r="N228" s="32"/>
      <c r="O228" s="43"/>
      <c r="P228" s="43"/>
      <c r="Q228" s="48"/>
      <c r="R228" s="48"/>
      <c r="S228" s="48"/>
      <c r="T228" s="48"/>
    </row>
    <row r="229" spans="1:20" ht="15.6" x14ac:dyDescent="0.3">
      <c r="C229" s="329" t="s">
        <v>274</v>
      </c>
      <c r="D229" s="425"/>
      <c r="E229" s="393">
        <f t="shared" ref="E229:E233" si="11">+E228</f>
        <v>62405.138333333336</v>
      </c>
      <c r="F229" s="165">
        <f t="shared" si="10"/>
        <v>43600.416666666664</v>
      </c>
      <c r="G229" s="44"/>
      <c r="H229" s="44"/>
      <c r="I229" s="44">
        <f>D220</f>
        <v>748861.66</v>
      </c>
      <c r="J229" s="322"/>
      <c r="K229" s="32"/>
      <c r="L229" s="35"/>
      <c r="M229" s="32"/>
      <c r="N229" s="32"/>
      <c r="O229" s="43"/>
      <c r="P229" s="43"/>
      <c r="Q229" s="48"/>
      <c r="R229" s="48"/>
      <c r="S229" s="48"/>
      <c r="T229" s="48"/>
    </row>
    <row r="230" spans="1:20" ht="15.6" x14ac:dyDescent="0.3">
      <c r="C230" s="329" t="s">
        <v>275</v>
      </c>
      <c r="D230" s="425"/>
      <c r="E230" s="393">
        <f t="shared" si="11"/>
        <v>62405.138333333336</v>
      </c>
      <c r="F230" s="165">
        <f t="shared" si="10"/>
        <v>43600.416666666664</v>
      </c>
      <c r="G230" s="44"/>
      <c r="H230" s="44"/>
      <c r="J230" s="322"/>
      <c r="K230" s="32"/>
      <c r="L230" s="35"/>
      <c r="M230" s="32"/>
      <c r="N230" s="32"/>
      <c r="O230" s="43"/>
      <c r="P230" s="43"/>
      <c r="Q230" s="48"/>
      <c r="R230" s="48"/>
      <c r="S230" s="48"/>
      <c r="T230" s="48"/>
    </row>
    <row r="231" spans="1:20" ht="15.6" x14ac:dyDescent="0.3">
      <c r="C231" s="319" t="s">
        <v>276</v>
      </c>
      <c r="D231" s="425"/>
      <c r="E231" s="393">
        <f t="shared" si="11"/>
        <v>62405.138333333336</v>
      </c>
      <c r="F231" s="165">
        <f t="shared" si="10"/>
        <v>43600.416666666664</v>
      </c>
      <c r="G231" s="44"/>
      <c r="H231" s="44"/>
      <c r="J231" s="322"/>
      <c r="K231" s="32"/>
      <c r="L231" s="35"/>
      <c r="M231" s="32"/>
      <c r="N231" s="32"/>
      <c r="O231" s="43"/>
      <c r="P231" s="43"/>
      <c r="Q231" s="48"/>
      <c r="R231" s="48"/>
      <c r="S231" s="48"/>
      <c r="T231" s="48"/>
    </row>
    <row r="232" spans="1:20" ht="15.6" x14ac:dyDescent="0.3">
      <c r="C232" s="330" t="s">
        <v>344</v>
      </c>
      <c r="D232" s="426"/>
      <c r="E232" s="424">
        <f t="shared" si="11"/>
        <v>62405.138333333336</v>
      </c>
      <c r="F232" s="594">
        <f t="shared" si="10"/>
        <v>43600.416666666664</v>
      </c>
      <c r="G232" s="68" t="s">
        <v>529</v>
      </c>
      <c r="H232" s="44"/>
      <c r="I232" s="44">
        <f>D225*3</f>
        <v>0</v>
      </c>
      <c r="J232" s="322"/>
      <c r="K232" s="32"/>
      <c r="L232" s="35"/>
      <c r="M232" s="32"/>
      <c r="N232" s="32"/>
      <c r="O232" s="43"/>
      <c r="P232" s="43"/>
      <c r="Q232" s="48"/>
      <c r="R232" s="48"/>
      <c r="S232" s="48"/>
      <c r="T232" s="48"/>
    </row>
    <row r="233" spans="1:20" ht="16.2" thickBot="1" x14ac:dyDescent="0.35">
      <c r="C233" s="331" t="s">
        <v>345</v>
      </c>
      <c r="D233" s="595"/>
      <c r="E233" s="588">
        <f t="shared" si="11"/>
        <v>62405.138333333336</v>
      </c>
      <c r="F233" s="596">
        <f t="shared" si="10"/>
        <v>43600.416666666664</v>
      </c>
      <c r="G233" s="44" t="s">
        <v>524</v>
      </c>
      <c r="H233" s="44"/>
      <c r="I233" s="44">
        <f>SUBTOTAL(9,D228:E233)</f>
        <v>374430.82999999996</v>
      </c>
      <c r="J233" s="323"/>
      <c r="K233" s="32"/>
      <c r="L233" s="35"/>
      <c r="M233" s="32"/>
      <c r="N233" s="32"/>
      <c r="O233" s="43"/>
      <c r="P233" s="43"/>
      <c r="Q233" s="48"/>
      <c r="R233" s="48"/>
      <c r="S233" s="48"/>
      <c r="T233" s="48"/>
    </row>
    <row r="234" spans="1:20" ht="15" thickBot="1" x14ac:dyDescent="0.35">
      <c r="C234" s="65" t="s">
        <v>452</v>
      </c>
      <c r="D234" s="66">
        <f>SUM(D222:D233)</f>
        <v>0</v>
      </c>
      <c r="E234" s="317">
        <f>SUM(E222:E233)</f>
        <v>748861.6599999998</v>
      </c>
      <c r="F234" s="548">
        <f>SUM(F222:F233)</f>
        <v>305202.91666666663</v>
      </c>
      <c r="G234" s="166">
        <f>+SUM(E228:E233)+SUM(D222:D227)</f>
        <v>374430.82999999996</v>
      </c>
      <c r="H234" s="44"/>
      <c r="I234" s="49">
        <f>SUM(I232:I233)</f>
        <v>374430.82999999996</v>
      </c>
      <c r="J234" s="317">
        <f>F214+E234</f>
        <v>1430061.6599999997</v>
      </c>
      <c r="O234" s="44"/>
      <c r="P234" s="43"/>
      <c r="Q234" s="48"/>
      <c r="R234" s="48"/>
      <c r="S234" s="48"/>
      <c r="T234" s="48"/>
    </row>
    <row r="235" spans="1:20" ht="15" thickBot="1" x14ac:dyDescent="0.35">
      <c r="C235" s="48"/>
      <c r="D235" s="48"/>
      <c r="E235" s="48"/>
      <c r="F235" s="126"/>
      <c r="H235" s="44"/>
      <c r="I235" s="44"/>
      <c r="J235" s="44"/>
      <c r="O235" s="44"/>
      <c r="P235" s="43"/>
      <c r="Q235" s="48"/>
      <c r="R235" s="48"/>
      <c r="S235" s="48"/>
      <c r="T235" s="48"/>
    </row>
    <row r="236" spans="1:20" ht="15" thickBot="1" x14ac:dyDescent="0.35">
      <c r="C236" s="94" t="s">
        <v>277</v>
      </c>
      <c r="D236" s="67"/>
      <c r="E236" s="49">
        <v>748861.66</v>
      </c>
      <c r="F236" s="132">
        <v>523205</v>
      </c>
      <c r="G236" s="185">
        <f>+G212+G234</f>
        <v>660164.16333333333</v>
      </c>
      <c r="H236" s="44"/>
      <c r="I236" s="47" t="s">
        <v>549</v>
      </c>
      <c r="J236" s="565">
        <f>G212</f>
        <v>285733.33333333337</v>
      </c>
      <c r="O236" s="44"/>
      <c r="P236" s="43"/>
      <c r="Q236" s="48"/>
      <c r="R236" s="48"/>
      <c r="S236" s="48"/>
      <c r="T236" s="48"/>
    </row>
    <row r="237" spans="1:20" x14ac:dyDescent="0.3">
      <c r="C237" s="48"/>
      <c r="D237" s="48"/>
      <c r="E237" s="48">
        <f>E212+E234</f>
        <v>1352361.66</v>
      </c>
      <c r="F237" s="126"/>
      <c r="I237" s="38" t="s">
        <v>431</v>
      </c>
      <c r="J237" s="565">
        <f>G234</f>
        <v>374430.82999999996</v>
      </c>
      <c r="O237" s="44"/>
      <c r="P237" s="43"/>
      <c r="Q237" s="48"/>
      <c r="R237" s="48"/>
      <c r="S237" s="48"/>
      <c r="T237" s="48"/>
    </row>
    <row r="238" spans="1:20" ht="15" thickBot="1" x14ac:dyDescent="0.35">
      <c r="C238" s="48"/>
      <c r="D238" s="48"/>
      <c r="E238" s="48"/>
      <c r="F238" s="126"/>
      <c r="H238" s="44"/>
      <c r="I238" s="555" t="s">
        <v>550</v>
      </c>
      <c r="J238" s="564">
        <f>SUM(J236:J237)</f>
        <v>660164.16333333333</v>
      </c>
      <c r="O238" s="44"/>
      <c r="P238" s="43"/>
      <c r="Q238" s="48"/>
      <c r="R238" s="48"/>
      <c r="S238" s="48"/>
      <c r="T238" s="48"/>
    </row>
    <row r="239" spans="1:20" s="43" customFormat="1" ht="15" thickTop="1" x14ac:dyDescent="0.3">
      <c r="A239" s="109"/>
      <c r="B239" s="172" t="s">
        <v>485</v>
      </c>
      <c r="C239" s="72"/>
      <c r="E239" s="412">
        <f>$D$24</f>
        <v>2025</v>
      </c>
      <c r="F239" s="412">
        <f>$E$24</f>
        <v>2024</v>
      </c>
      <c r="Q239" s="48"/>
      <c r="R239" s="48"/>
      <c r="S239" s="48"/>
      <c r="T239" s="48"/>
    </row>
    <row r="240" spans="1:20" s="43" customFormat="1" x14ac:dyDescent="0.3">
      <c r="A240" s="108"/>
      <c r="B240" s="48"/>
      <c r="C240" s="48"/>
      <c r="D240" s="73"/>
      <c r="F240" s="74"/>
      <c r="G240" s="383" t="s">
        <v>526</v>
      </c>
      <c r="H240" s="48"/>
      <c r="O240" s="48"/>
      <c r="Q240" s="48"/>
      <c r="R240" s="48"/>
      <c r="S240" s="48"/>
      <c r="T240" s="48"/>
    </row>
    <row r="241" spans="1:20" s="43" customFormat="1" x14ac:dyDescent="0.3">
      <c r="A241" s="108"/>
      <c r="B241"/>
      <c r="C241" s="51" t="str">
        <f>$C$6</f>
        <v>Situación Financiera</v>
      </c>
      <c r="D241" s="313"/>
      <c r="F241" s="48"/>
      <c r="G241" s="43" t="s">
        <v>527</v>
      </c>
      <c r="H241" s="48"/>
      <c r="O241" s="48"/>
      <c r="Q241" s="48"/>
      <c r="R241" s="48"/>
      <c r="S241" s="48"/>
      <c r="T241" s="48"/>
    </row>
    <row r="242" spans="1:20" s="43" customFormat="1" x14ac:dyDescent="0.3">
      <c r="A242" s="108"/>
      <c r="B242"/>
      <c r="C242" s="48"/>
      <c r="D242" s="44"/>
      <c r="F242" s="48"/>
      <c r="H242" s="48"/>
      <c r="I242" s="74"/>
      <c r="L242" s="46"/>
      <c r="O242" s="48"/>
      <c r="Q242" s="48"/>
      <c r="R242" s="48"/>
      <c r="S242" s="48"/>
      <c r="T242" s="48"/>
    </row>
    <row r="243" spans="1:20" s="43" customFormat="1" x14ac:dyDescent="0.3">
      <c r="A243" s="108"/>
      <c r="C243" s="526" t="s">
        <v>534</v>
      </c>
      <c r="E243" s="525">
        <f>SUM(D244:D245)</f>
        <v>32573331.98</v>
      </c>
      <c r="F243" s="371">
        <v>32838422.66</v>
      </c>
      <c r="H243" s="48"/>
      <c r="O243" s="48"/>
      <c r="Q243" s="48"/>
      <c r="R243" s="48"/>
      <c r="S243" s="48"/>
      <c r="T243" s="48"/>
    </row>
    <row r="244" spans="1:20" s="43" customFormat="1" x14ac:dyDescent="0.3">
      <c r="A244" s="108"/>
      <c r="B244" s="48"/>
      <c r="C244" s="427" t="s">
        <v>518</v>
      </c>
      <c r="D244" s="156">
        <v>29256429.5</v>
      </c>
      <c r="F244" s="47"/>
      <c r="G244" s="69"/>
      <c r="H244" s="48"/>
      <c r="O244" s="48"/>
      <c r="Q244" s="48"/>
      <c r="R244" s="48"/>
      <c r="S244" s="48"/>
      <c r="T244" s="48"/>
    </row>
    <row r="245" spans="1:20" s="43" customFormat="1" x14ac:dyDescent="0.3">
      <c r="A245" s="108"/>
      <c r="C245" s="48" t="s">
        <v>519</v>
      </c>
      <c r="D245" s="156">
        <v>3316902.48</v>
      </c>
      <c r="F245" s="48"/>
      <c r="G245" s="69"/>
      <c r="H245" s="48"/>
      <c r="O245" s="48"/>
      <c r="Q245" s="48"/>
      <c r="R245" s="48"/>
      <c r="S245" s="48"/>
      <c r="T245" s="48"/>
    </row>
    <row r="246" spans="1:20" s="43" customFormat="1" x14ac:dyDescent="0.3">
      <c r="A246" s="108"/>
      <c r="B246" s="48"/>
      <c r="C246" s="48"/>
      <c r="D246" s="47"/>
      <c r="F246" s="47"/>
      <c r="G246" s="69"/>
      <c r="H246" s="48"/>
      <c r="O246" s="48"/>
      <c r="Q246" s="48"/>
      <c r="R246" s="48"/>
      <c r="S246" s="48"/>
      <c r="T246" s="48"/>
    </row>
    <row r="247" spans="1:20" s="43" customFormat="1" x14ac:dyDescent="0.3">
      <c r="A247" s="108"/>
      <c r="B247" s="48"/>
      <c r="C247" s="526" t="s">
        <v>279</v>
      </c>
      <c r="E247" s="524"/>
      <c r="F247" s="371"/>
      <c r="G247" s="69"/>
      <c r="H247" s="48"/>
      <c r="O247" s="48"/>
      <c r="Q247" s="48"/>
      <c r="R247" s="48"/>
      <c r="S247" s="48"/>
      <c r="T247" s="48"/>
    </row>
    <row r="248" spans="1:20" s="43" customFormat="1" x14ac:dyDescent="0.3">
      <c r="A248" s="108"/>
      <c r="C248" s="48"/>
      <c r="D248" s="47"/>
      <c r="F248" s="242"/>
      <c r="G248" s="69"/>
      <c r="H248" s="48"/>
      <c r="O248" s="48"/>
      <c r="Q248" s="48"/>
      <c r="R248" s="48"/>
      <c r="S248" s="48"/>
      <c r="T248" s="48"/>
    </row>
    <row r="249" spans="1:20" s="43" customFormat="1" x14ac:dyDescent="0.3">
      <c r="A249" s="108"/>
      <c r="B249" s="48"/>
      <c r="C249" s="526" t="s">
        <v>435</v>
      </c>
      <c r="D249" s="43">
        <v>220045.03999999998</v>
      </c>
      <c r="E249" s="524">
        <f>D249</f>
        <v>220045.03999999998</v>
      </c>
      <c r="F249" s="242">
        <v>137690.84</v>
      </c>
      <c r="O249" s="48"/>
      <c r="Q249" s="48"/>
      <c r="R249" s="48"/>
      <c r="S249" s="48"/>
      <c r="T249" s="48"/>
    </row>
    <row r="250" spans="1:20" s="43" customFormat="1" x14ac:dyDescent="0.3">
      <c r="A250" s="108"/>
      <c r="B250" s="48"/>
      <c r="C250" s="48"/>
      <c r="D250" s="47"/>
      <c r="F250" s="73"/>
      <c r="H250" s="48"/>
      <c r="O250" s="48"/>
      <c r="Q250" s="48"/>
      <c r="R250" s="48"/>
      <c r="S250" s="48"/>
      <c r="T250" s="48"/>
    </row>
    <row r="251" spans="1:20" s="43" customFormat="1" ht="15" thickBot="1" x14ac:dyDescent="0.35">
      <c r="A251" s="108"/>
      <c r="B251" s="48"/>
      <c r="C251" s="48"/>
      <c r="D251" s="47"/>
      <c r="F251" s="74"/>
      <c r="G251" s="69"/>
      <c r="H251" s="48"/>
      <c r="O251" s="48"/>
      <c r="Q251" s="48"/>
      <c r="R251" s="48"/>
      <c r="S251" s="48"/>
      <c r="T251" s="48"/>
    </row>
    <row r="252" spans="1:20" s="43" customFormat="1" ht="15" thickBot="1" x14ac:dyDescent="0.35">
      <c r="A252" s="108"/>
      <c r="C252" s="528" t="s">
        <v>285</v>
      </c>
      <c r="E252" s="527">
        <f>SUM(E243:E250)</f>
        <v>32793377.02</v>
      </c>
      <c r="F252" s="527">
        <f>SUM(F243:F249)</f>
        <v>32976113.5</v>
      </c>
      <c r="G252" s="105" t="s">
        <v>532</v>
      </c>
      <c r="H252" s="48"/>
      <c r="J252" s="44"/>
      <c r="O252" s="48"/>
      <c r="Q252" s="48"/>
      <c r="R252" s="48"/>
      <c r="S252" s="48"/>
      <c r="T252" s="48"/>
    </row>
    <row r="253" spans="1:20" s="43" customFormat="1" x14ac:dyDescent="0.3">
      <c r="A253" s="108"/>
      <c r="B253" s="48"/>
      <c r="C253" s="48"/>
      <c r="D253" s="44"/>
      <c r="E253" s="74"/>
      <c r="F253" s="126"/>
      <c r="G253" s="48"/>
      <c r="H253" s="48"/>
      <c r="O253" s="48"/>
      <c r="Q253" s="48"/>
      <c r="R253" s="48"/>
      <c r="S253" s="48"/>
      <c r="T253" s="48"/>
    </row>
    <row r="254" spans="1:20" s="43" customFormat="1" x14ac:dyDescent="0.3">
      <c r="A254" s="109"/>
      <c r="B254" s="48"/>
      <c r="C254" s="48"/>
      <c r="D254" s="44"/>
      <c r="E254" s="74"/>
      <c r="F254" s="126"/>
      <c r="G254" s="48"/>
      <c r="H254" s="48"/>
      <c r="O254" s="48"/>
      <c r="Q254" s="48"/>
      <c r="R254" s="48"/>
      <c r="S254" s="48"/>
      <c r="T254" s="48"/>
    </row>
    <row r="255" spans="1:20" s="43" customFormat="1" x14ac:dyDescent="0.3">
      <c r="A255" s="108"/>
      <c r="B255" s="55"/>
      <c r="C255" s="55"/>
      <c r="D255" s="412">
        <f>$D$24</f>
        <v>2025</v>
      </c>
      <c r="E255" s="412">
        <f>$E$24</f>
        <v>2024</v>
      </c>
      <c r="F255" s="133"/>
    </row>
    <row r="256" spans="1:20" x14ac:dyDescent="0.3">
      <c r="B256" s="273" t="s">
        <v>283</v>
      </c>
      <c r="D256" s="445">
        <v>-39</v>
      </c>
    </row>
    <row r="257" spans="1:8" ht="15.6" x14ac:dyDescent="0.3">
      <c r="B257" s="529" t="s">
        <v>585</v>
      </c>
      <c r="F257" s="37"/>
      <c r="G257" s="37"/>
    </row>
    <row r="258" spans="1:8" s="99" customFormat="1" ht="15.6" x14ac:dyDescent="0.3">
      <c r="A258" s="77"/>
      <c r="B258" s="372" t="s">
        <v>233</v>
      </c>
      <c r="C258" t="s">
        <v>418</v>
      </c>
      <c r="D258" s="373"/>
      <c r="E258" s="373"/>
      <c r="F258" s="212"/>
      <c r="H258" s="77" t="s">
        <v>233</v>
      </c>
    </row>
    <row r="259" spans="1:8" x14ac:dyDescent="0.3">
      <c r="C259" t="s">
        <v>60</v>
      </c>
      <c r="D259" s="137">
        <f>'Balance de Comprobación'!D38</f>
        <v>14793785.840000002</v>
      </c>
      <c r="E259" s="137">
        <f>'Balance de Comprobación'!F38</f>
        <v>14737785.840000002</v>
      </c>
      <c r="F259" s="134"/>
      <c r="G259" s="185"/>
      <c r="H259" s="272">
        <f t="shared" ref="H259:H264" si="12">IF(SUM(D259:E259)=0,"",1)</f>
        <v>1</v>
      </c>
    </row>
    <row r="260" spans="1:8" x14ac:dyDescent="0.3">
      <c r="C260" t="s">
        <v>62</v>
      </c>
      <c r="D260" s="137">
        <f>'Balance de Comprobación'!D39</f>
        <v>0</v>
      </c>
      <c r="E260" s="137">
        <f>'Balance de Comprobación'!F39</f>
        <v>220000</v>
      </c>
      <c r="F260" s="134"/>
      <c r="H260" s="272">
        <f t="shared" si="12"/>
        <v>1</v>
      </c>
    </row>
    <row r="261" spans="1:8" x14ac:dyDescent="0.3">
      <c r="C261" t="s">
        <v>63</v>
      </c>
      <c r="D261" s="137">
        <f>'Balance de Comprobación'!D40</f>
        <v>120000</v>
      </c>
      <c r="E261" s="137">
        <f>'Balance de Comprobación'!F40</f>
        <v>0</v>
      </c>
      <c r="F261" s="134"/>
      <c r="H261" s="272">
        <f t="shared" si="12"/>
        <v>1</v>
      </c>
    </row>
    <row r="262" spans="1:8" x14ac:dyDescent="0.3">
      <c r="C262" s="177" t="s">
        <v>64</v>
      </c>
      <c r="D262" s="137">
        <f>'Balance de Comprobación'!D41</f>
        <v>0</v>
      </c>
      <c r="E262" s="137">
        <f>'Balance de Comprobación'!F41</f>
        <v>0</v>
      </c>
      <c r="F262" s="134"/>
      <c r="H262" s="272" t="str">
        <f t="shared" si="12"/>
        <v/>
      </c>
    </row>
    <row r="263" spans="1:8" x14ac:dyDescent="0.3">
      <c r="C263" t="s">
        <v>66</v>
      </c>
      <c r="D263" s="207">
        <f>'Balance de Comprobación'!D42</f>
        <v>0</v>
      </c>
      <c r="E263" s="137">
        <f>'Balance de Comprobación'!F42</f>
        <v>0</v>
      </c>
      <c r="F263" s="134"/>
      <c r="H263" s="272" t="str">
        <f t="shared" si="12"/>
        <v/>
      </c>
    </row>
    <row r="264" spans="1:8" x14ac:dyDescent="0.3">
      <c r="C264" s="177" t="s">
        <v>68</v>
      </c>
      <c r="D264" s="137">
        <f>'Balance de Comprobación'!D43</f>
        <v>129210.89</v>
      </c>
      <c r="E264" s="137">
        <f>'Balance de Comprobación'!F43</f>
        <v>0</v>
      </c>
      <c r="F264" s="134"/>
      <c r="H264" s="272">
        <f t="shared" si="12"/>
        <v>1</v>
      </c>
    </row>
    <row r="265" spans="1:8" s="99" customFormat="1" x14ac:dyDescent="0.3">
      <c r="A265" s="77"/>
      <c r="B265" s="77"/>
      <c r="C265" t="s">
        <v>419</v>
      </c>
      <c r="D265" s="373"/>
      <c r="E265" s="373"/>
      <c r="F265" s="312"/>
      <c r="H265" s="77" t="s">
        <v>233</v>
      </c>
    </row>
    <row r="266" spans="1:8" x14ac:dyDescent="0.3">
      <c r="C266" t="s">
        <v>71</v>
      </c>
      <c r="D266" s="137">
        <f>'Balance de Comprobación'!D45</f>
        <v>0</v>
      </c>
      <c r="E266" s="137">
        <f>'Balance de Comprobación'!F45</f>
        <v>0</v>
      </c>
      <c r="F266" s="134"/>
      <c r="H266" s="272" t="str">
        <f>IF(SUM(D266:E266)=0,"",1)</f>
        <v/>
      </c>
    </row>
    <row r="267" spans="1:8" x14ac:dyDescent="0.3">
      <c r="C267" t="s">
        <v>72</v>
      </c>
      <c r="D267" s="137">
        <f>'Balance de Comprobación'!D46</f>
        <v>390000</v>
      </c>
      <c r="E267" s="137">
        <f>'Balance de Comprobación'!F46</f>
        <v>390000</v>
      </c>
      <c r="F267" s="134"/>
      <c r="H267" s="272">
        <f>IF(SUM(D267:E267)=0,"",1)</f>
        <v>1</v>
      </c>
    </row>
    <row r="268" spans="1:8" x14ac:dyDescent="0.3">
      <c r="C268" t="s">
        <v>370</v>
      </c>
      <c r="D268" s="137">
        <v>2436797.48</v>
      </c>
      <c r="E268" s="137">
        <v>0</v>
      </c>
      <c r="F268" s="134"/>
      <c r="H268" s="272"/>
    </row>
    <row r="269" spans="1:8" x14ac:dyDescent="0.3">
      <c r="C269" t="s">
        <v>74</v>
      </c>
      <c r="D269" s="137">
        <f>'Balance de Comprobación'!D48</f>
        <v>976018</v>
      </c>
      <c r="E269" s="137">
        <f>'Balance de Comprobación'!F48</f>
        <v>921018</v>
      </c>
      <c r="F269" s="134"/>
      <c r="H269" s="272">
        <f>IF(SUM(D269:E269)=0,"",1)</f>
        <v>1</v>
      </c>
    </row>
    <row r="270" spans="1:8" x14ac:dyDescent="0.3">
      <c r="C270" t="s">
        <v>420</v>
      </c>
      <c r="D270" s="373"/>
      <c r="E270" s="373"/>
      <c r="F270" s="134"/>
      <c r="H270" s="107" t="s">
        <v>233</v>
      </c>
    </row>
    <row r="271" spans="1:8" x14ac:dyDescent="0.3">
      <c r="C271" s="177" t="s">
        <v>77</v>
      </c>
      <c r="D271" s="137">
        <f>'Balance de Comprobación'!D50</f>
        <v>0</v>
      </c>
      <c r="E271" s="137">
        <f>'Balance de Comprobación'!F50</f>
        <v>0</v>
      </c>
      <c r="F271" s="134"/>
      <c r="H271" s="272" t="str">
        <f>IF(SUM(D271:E271)=0,"",1)</f>
        <v/>
      </c>
    </row>
    <row r="272" spans="1:8" x14ac:dyDescent="0.3">
      <c r="C272" t="s">
        <v>421</v>
      </c>
      <c r="D272" s="373"/>
      <c r="E272" s="373"/>
      <c r="F272" s="134"/>
      <c r="H272" s="107" t="s">
        <v>233</v>
      </c>
    </row>
    <row r="273" spans="1:10" x14ac:dyDescent="0.3">
      <c r="C273" t="s">
        <v>79</v>
      </c>
      <c r="D273" s="207">
        <f>'Balance de Comprobación'!D52</f>
        <v>1040909.94</v>
      </c>
      <c r="E273" s="207">
        <f>'Balance de Comprobación'!F52</f>
        <v>1040275.3200000002</v>
      </c>
      <c r="F273" s="134"/>
      <c r="H273" s="272">
        <f>IF(SUM(D273:E273)=0,"",1)</f>
        <v>1</v>
      </c>
    </row>
    <row r="274" spans="1:10" x14ac:dyDescent="0.3">
      <c r="C274" t="s">
        <v>80</v>
      </c>
      <c r="D274" s="137">
        <f>'Balance de Comprobación'!D53</f>
        <v>1058878.78</v>
      </c>
      <c r="E274" s="137">
        <f>'Balance de Comprobación'!F53</f>
        <v>1062002.78</v>
      </c>
      <c r="F274" s="134"/>
      <c r="H274" s="272">
        <f>IF(SUM(D274:E274)=0,"",1)</f>
        <v>1</v>
      </c>
    </row>
    <row r="275" spans="1:10" x14ac:dyDescent="0.3">
      <c r="C275" t="s">
        <v>81</v>
      </c>
      <c r="D275" s="137">
        <f>'Balance de Comprobación'!D54</f>
        <v>122397.53</v>
      </c>
      <c r="E275" s="137">
        <f>'Balance de Comprobación'!F54</f>
        <v>116157.90000000002</v>
      </c>
      <c r="F275" s="134"/>
      <c r="H275" s="272">
        <f>IF(SUM(D275:E275)=0,"",1)</f>
        <v>1</v>
      </c>
    </row>
    <row r="276" spans="1:10" s="99" customFormat="1" x14ac:dyDescent="0.3">
      <c r="A276" s="77"/>
      <c r="B276" s="77"/>
      <c r="C276" t="s">
        <v>412</v>
      </c>
      <c r="D276" s="373"/>
      <c r="E276" s="373"/>
      <c r="F276" s="312"/>
      <c r="H276" s="77" t="s">
        <v>233</v>
      </c>
    </row>
    <row r="277" spans="1:10" x14ac:dyDescent="0.3">
      <c r="C277" t="s">
        <v>133</v>
      </c>
      <c r="D277" s="274">
        <f>'Balance de Comprobación'!D102</f>
        <v>19274.64</v>
      </c>
      <c r="E277" s="274">
        <f>'Balance de Comprobación'!F101</f>
        <v>0</v>
      </c>
      <c r="F277" s="271"/>
      <c r="G277" s="105"/>
      <c r="H277" s="275">
        <f>IF(SUM(D277:E277)=0,"",1)</f>
        <v>1</v>
      </c>
    </row>
    <row r="278" spans="1:10" x14ac:dyDescent="0.3">
      <c r="C278" t="s">
        <v>422</v>
      </c>
      <c r="D278" s="373"/>
      <c r="E278" s="373"/>
      <c r="F278" s="271"/>
      <c r="G278" s="105"/>
      <c r="H278" s="275" t="s">
        <v>233</v>
      </c>
    </row>
    <row r="279" spans="1:10" x14ac:dyDescent="0.3">
      <c r="C279" t="s">
        <v>143</v>
      </c>
      <c r="D279" s="137">
        <f>'Balance de Comprobación'!D106</f>
        <v>0</v>
      </c>
      <c r="E279" s="137"/>
      <c r="F279"/>
      <c r="H279" s="272" t="str">
        <f>IF(SUM(D279:E279)=0,"",1)</f>
        <v/>
      </c>
    </row>
    <row r="280" spans="1:10" x14ac:dyDescent="0.3">
      <c r="C280" t="s">
        <v>415</v>
      </c>
      <c r="D280" s="373"/>
      <c r="E280" s="373"/>
      <c r="F280"/>
      <c r="H280" s="107" t="s">
        <v>233</v>
      </c>
    </row>
    <row r="281" spans="1:10" x14ac:dyDescent="0.3">
      <c r="C281" s="177" t="s">
        <v>152</v>
      </c>
      <c r="D281" s="137">
        <f>'Balance de Comprobación'!D112</f>
        <v>0</v>
      </c>
      <c r="E281" s="137">
        <f>'Balance de Comprobación'!F112</f>
        <v>6432.4</v>
      </c>
      <c r="F281"/>
      <c r="H281" s="272">
        <f>IF(SUM(D281:E281)=0,"",1)</f>
        <v>1</v>
      </c>
    </row>
    <row r="282" spans="1:10" x14ac:dyDescent="0.3">
      <c r="C282" t="s">
        <v>206</v>
      </c>
      <c r="D282" s="373"/>
      <c r="E282" s="373"/>
      <c r="F282"/>
      <c r="H282" s="107" t="s">
        <v>233</v>
      </c>
    </row>
    <row r="283" spans="1:10" x14ac:dyDescent="0.3">
      <c r="C283" s="177" t="s">
        <v>208</v>
      </c>
      <c r="D283" s="137">
        <f>'Balance de Comprobación'!D149</f>
        <v>0</v>
      </c>
      <c r="E283" s="137">
        <f>'Balance de Comprobación'!F149</f>
        <v>0</v>
      </c>
      <c r="F283"/>
      <c r="H283" s="272" t="str">
        <f>IF(SUM(D283:E283)=0,"",1)</f>
        <v/>
      </c>
    </row>
    <row r="284" spans="1:10" x14ac:dyDescent="0.3">
      <c r="C284" t="s">
        <v>423</v>
      </c>
      <c r="D284" s="373"/>
      <c r="E284" s="373"/>
      <c r="F284"/>
      <c r="H284" s="107" t="s">
        <v>233</v>
      </c>
    </row>
    <row r="285" spans="1:10" x14ac:dyDescent="0.3">
      <c r="C285" t="s">
        <v>219</v>
      </c>
      <c r="D285" s="137">
        <f>'Balance de Comprobación'!D157</f>
        <v>0</v>
      </c>
      <c r="E285" s="137">
        <f>'Balance de Comprobación'!F157</f>
        <v>18930</v>
      </c>
      <c r="F285" s="207"/>
      <c r="H285" s="272">
        <f>IF(SUM(D285:E285)=0,"",1)</f>
        <v>1</v>
      </c>
    </row>
    <row r="286" spans="1:10" ht="15" thickBot="1" x14ac:dyDescent="0.35">
      <c r="C286" s="177" t="s">
        <v>221</v>
      </c>
      <c r="D286" s="137">
        <f>'Balance de Comprobación'!D158</f>
        <v>0</v>
      </c>
      <c r="E286" s="137">
        <f>'Balance de Comprobación'!F158</f>
        <v>0</v>
      </c>
      <c r="F286"/>
      <c r="H286" s="272" t="str">
        <f>IF(SUM(D286:E286)=0,"",1)</f>
        <v/>
      </c>
    </row>
    <row r="287" spans="1:10" ht="15" thickBot="1" x14ac:dyDescent="0.35">
      <c r="C287" s="103"/>
      <c r="D287" s="209">
        <f>SUM(D259:D286)</f>
        <v>21087273.100000005</v>
      </c>
      <c r="E287" s="209">
        <f>SUM(E259:E286)</f>
        <v>18512602.239999998</v>
      </c>
      <c r="F287"/>
      <c r="H287" s="272">
        <f>IF(SUM(D287:E287)=0,"",1)</f>
        <v>1</v>
      </c>
      <c r="J287" s="116"/>
    </row>
    <row r="288" spans="1:10" x14ac:dyDescent="0.3">
      <c r="D288" s="428" t="e">
        <f>#REF!-Datos!D287</f>
        <v>#REF!</v>
      </c>
      <c r="E288" s="428" t="e">
        <f>#REF!-Datos!E287</f>
        <v>#REF!</v>
      </c>
      <c r="F288"/>
    </row>
    <row r="289" spans="1:14" x14ac:dyDescent="0.3">
      <c r="C289" s="172" t="s">
        <v>353</v>
      </c>
      <c r="D289" s="185"/>
      <c r="F289" s="68" t="s">
        <v>521</v>
      </c>
    </row>
    <row r="290" spans="1:14" x14ac:dyDescent="0.3">
      <c r="C290" s="38" t="s">
        <v>371</v>
      </c>
      <c r="D290" s="454">
        <f>D261</f>
        <v>120000</v>
      </c>
      <c r="E290" s="278">
        <v>0</v>
      </c>
      <c r="F290"/>
      <c r="H290" s="272">
        <f t="shared" ref="H290:H302" si="13">IF(SUM(D290:E290)=0,"",1)</f>
        <v>1</v>
      </c>
    </row>
    <row r="291" spans="1:14" x14ac:dyDescent="0.3">
      <c r="C291" s="38" t="str">
        <f>C263</f>
        <v>Prestaciones económicas</v>
      </c>
      <c r="D291" s="454">
        <f>D263</f>
        <v>0</v>
      </c>
      <c r="E291" s="278">
        <v>0</v>
      </c>
      <c r="F291"/>
      <c r="H291" s="272" t="str">
        <f t="shared" si="13"/>
        <v/>
      </c>
    </row>
    <row r="292" spans="1:14" x14ac:dyDescent="0.3">
      <c r="C292" s="38" t="s">
        <v>68</v>
      </c>
      <c r="D292" s="454">
        <f>D264</f>
        <v>129210.89</v>
      </c>
      <c r="E292" s="278">
        <v>0</v>
      </c>
      <c r="F292"/>
      <c r="H292" s="272">
        <f t="shared" si="13"/>
        <v>1</v>
      </c>
    </row>
    <row r="293" spans="1:14" x14ac:dyDescent="0.3">
      <c r="C293" s="38" t="s">
        <v>74</v>
      </c>
      <c r="D293" s="454">
        <v>851421.48</v>
      </c>
      <c r="E293" s="278">
        <v>851421.48</v>
      </c>
      <c r="F293"/>
      <c r="H293" s="272">
        <f t="shared" si="13"/>
        <v>1</v>
      </c>
    </row>
    <row r="294" spans="1:14" x14ac:dyDescent="0.3">
      <c r="C294" s="38" t="s">
        <v>369</v>
      </c>
      <c r="D294" s="454">
        <v>2698318.15</v>
      </c>
      <c r="E294" s="278">
        <v>2698318.15</v>
      </c>
      <c r="F294"/>
      <c r="H294" s="272">
        <f t="shared" si="13"/>
        <v>1</v>
      </c>
    </row>
    <row r="295" spans="1:14" x14ac:dyDescent="0.3">
      <c r="C295" s="38" t="s">
        <v>370</v>
      </c>
      <c r="D295" s="454">
        <v>0</v>
      </c>
      <c r="E295" s="278">
        <v>0</v>
      </c>
      <c r="F295"/>
      <c r="H295" s="272" t="str">
        <f t="shared" si="13"/>
        <v/>
      </c>
    </row>
    <row r="296" spans="1:14" x14ac:dyDescent="0.3">
      <c r="C296" s="38" t="s">
        <v>77</v>
      </c>
      <c r="D296" s="454">
        <v>0</v>
      </c>
      <c r="E296" s="278">
        <v>0</v>
      </c>
      <c r="F296"/>
      <c r="H296" s="272" t="str">
        <f t="shared" si="13"/>
        <v/>
      </c>
    </row>
    <row r="297" spans="1:14" x14ac:dyDescent="0.3">
      <c r="C297" s="38" t="s">
        <v>369</v>
      </c>
      <c r="D297" s="454">
        <v>2512385.6800000002</v>
      </c>
      <c r="E297" s="278">
        <v>2512385.6800000002</v>
      </c>
      <c r="F297"/>
      <c r="H297" s="272">
        <f t="shared" si="13"/>
        <v>1</v>
      </c>
    </row>
    <row r="298" spans="1:14" x14ac:dyDescent="0.3">
      <c r="C298" s="38" t="s">
        <v>208</v>
      </c>
      <c r="D298" s="454">
        <v>0</v>
      </c>
      <c r="E298" s="278">
        <v>0</v>
      </c>
      <c r="F298"/>
      <c r="H298" s="272" t="str">
        <f t="shared" si="13"/>
        <v/>
      </c>
    </row>
    <row r="299" spans="1:14" x14ac:dyDescent="0.3">
      <c r="C299" s="38" t="s">
        <v>219</v>
      </c>
      <c r="D299" s="454">
        <v>71500</v>
      </c>
      <c r="E299" s="278">
        <v>71500</v>
      </c>
      <c r="F299"/>
      <c r="H299" s="272">
        <f t="shared" si="13"/>
        <v>1</v>
      </c>
    </row>
    <row r="300" spans="1:14" x14ac:dyDescent="0.3">
      <c r="C300" s="38" t="s">
        <v>221</v>
      </c>
      <c r="D300" s="454">
        <v>0</v>
      </c>
      <c r="E300" s="278">
        <v>0</v>
      </c>
      <c r="F300"/>
      <c r="H300" s="272" t="str">
        <f t="shared" si="13"/>
        <v/>
      </c>
    </row>
    <row r="301" spans="1:14" ht="15" thickBot="1" x14ac:dyDescent="0.35">
      <c r="C301" s="38" t="s">
        <v>368</v>
      </c>
      <c r="D301" s="454">
        <f>D266</f>
        <v>0</v>
      </c>
      <c r="E301" s="278">
        <v>6291.58</v>
      </c>
      <c r="F301"/>
      <c r="H301" s="272">
        <f t="shared" si="13"/>
        <v>1</v>
      </c>
    </row>
    <row r="302" spans="1:14" ht="15" thickBot="1" x14ac:dyDescent="0.35">
      <c r="C302" s="103"/>
      <c r="D302" s="101">
        <f>SUM(D290:D301)</f>
        <v>6382836.2000000002</v>
      </c>
      <c r="E302" s="209">
        <f>SUM(E290:E301)</f>
        <v>6139916.8900000006</v>
      </c>
      <c r="F302"/>
      <c r="H302" s="272">
        <f t="shared" si="13"/>
        <v>1</v>
      </c>
      <c r="J302" s="116" t="s">
        <v>520</v>
      </c>
    </row>
    <row r="303" spans="1:14" x14ac:dyDescent="0.3">
      <c r="F303"/>
    </row>
    <row r="304" spans="1:14" s="43" customFormat="1" ht="25.5" customHeight="1" x14ac:dyDescent="0.3">
      <c r="A304" s="108"/>
      <c r="B304" s="176" t="s">
        <v>498</v>
      </c>
      <c r="C304" s="215"/>
      <c r="D304" s="126"/>
      <c r="E304" s="126"/>
      <c r="F304" s="126"/>
      <c r="L304" s="99" t="s">
        <v>404</v>
      </c>
      <c r="N304"/>
    </row>
    <row r="305" spans="1:14" s="43" customFormat="1" x14ac:dyDescent="0.3">
      <c r="A305" s="108"/>
      <c r="C305" s="44" t="s">
        <v>456</v>
      </c>
      <c r="D305" s="39">
        <v>0</v>
      </c>
      <c r="E305" s="39">
        <v>0</v>
      </c>
      <c r="L305" s="219" t="s">
        <v>405</v>
      </c>
      <c r="N305"/>
    </row>
    <row r="306" spans="1:14" s="43" customFormat="1" x14ac:dyDescent="0.3">
      <c r="A306" s="108"/>
      <c r="C306" s="44" t="s">
        <v>457</v>
      </c>
      <c r="D306" s="39">
        <v>0</v>
      </c>
      <c r="E306" s="39">
        <v>0</v>
      </c>
      <c r="L306" s="219" t="s">
        <v>406</v>
      </c>
      <c r="M306" s="43">
        <v>1808342.7700000014</v>
      </c>
      <c r="N306"/>
    </row>
    <row r="307" spans="1:14" s="43" customFormat="1" x14ac:dyDescent="0.3">
      <c r="A307" s="108"/>
      <c r="C307" s="44" t="s">
        <v>497</v>
      </c>
      <c r="D307" s="523">
        <v>1012000</v>
      </c>
      <c r="E307" s="523">
        <v>5931892.5899999999</v>
      </c>
      <c r="I307" s="219"/>
      <c r="N307"/>
    </row>
    <row r="308" spans="1:14" s="43" customFormat="1" ht="16.8" thickBot="1" x14ac:dyDescent="0.5">
      <c r="A308" s="108"/>
      <c r="B308" s="70" t="s">
        <v>278</v>
      </c>
      <c r="C308" s="44"/>
      <c r="D308" s="297">
        <f>SUBTOTAL(9,D305:D307)</f>
        <v>1012000</v>
      </c>
      <c r="E308" s="297">
        <f>SUBTOTAL(9,E305:E307)</f>
        <v>5931892.5899999999</v>
      </c>
      <c r="G308" s="574" t="s">
        <v>564</v>
      </c>
      <c r="I308" s="116"/>
      <c r="J308" s="116"/>
      <c r="N308"/>
    </row>
    <row r="309" spans="1:14" s="43" customFormat="1" ht="15" thickTop="1" x14ac:dyDescent="0.3">
      <c r="A309" s="108"/>
      <c r="C309" s="44"/>
      <c r="D309" s="45" t="e">
        <f>#REF!-D308</f>
        <v>#REF!</v>
      </c>
      <c r="E309" s="45" t="e">
        <f>#REF!-E308</f>
        <v>#REF!</v>
      </c>
      <c r="I309" s="126"/>
      <c r="N309"/>
    </row>
    <row r="310" spans="1:14" x14ac:dyDescent="0.3">
      <c r="C310" s="68"/>
      <c r="D310" s="69"/>
      <c r="E310" s="69"/>
      <c r="F310" s="134"/>
    </row>
    <row r="311" spans="1:14" x14ac:dyDescent="0.3">
      <c r="B311" s="170" t="s">
        <v>489</v>
      </c>
      <c r="C311" s="68"/>
      <c r="D311" s="69"/>
      <c r="E311" s="69"/>
      <c r="F311" s="134"/>
    </row>
    <row r="312" spans="1:14" x14ac:dyDescent="0.3">
      <c r="C312" s="68" t="s">
        <v>366</v>
      </c>
      <c r="D312" s="220">
        <v>176300</v>
      </c>
      <c r="E312" s="69">
        <v>440145</v>
      </c>
      <c r="F312" s="134"/>
      <c r="J312" s="116"/>
    </row>
    <row r="313" spans="1:14" ht="15" thickBot="1" x14ac:dyDescent="0.35">
      <c r="D313" s="69"/>
      <c r="E313" s="69"/>
      <c r="F313" s="134"/>
    </row>
    <row r="314" spans="1:14" ht="15" thickBot="1" x14ac:dyDescent="0.35">
      <c r="C314" s="103" t="s">
        <v>284</v>
      </c>
      <c r="D314" s="101">
        <f>SUM(D312:D313)</f>
        <v>176300</v>
      </c>
      <c r="E314" s="101">
        <f>SUM(E312:E313)</f>
        <v>440145</v>
      </c>
      <c r="F314" s="134"/>
      <c r="G314" s="574" t="s">
        <v>564</v>
      </c>
      <c r="J314" s="116"/>
    </row>
    <row r="315" spans="1:14" x14ac:dyDescent="0.3">
      <c r="D315" s="45" t="e">
        <f>#REF!-Datos!D314</f>
        <v>#REF!</v>
      </c>
      <c r="E315" s="45" t="e">
        <f>#REF!-Datos!E314</f>
        <v>#REF!</v>
      </c>
      <c r="F315" s="134"/>
    </row>
    <row r="316" spans="1:14" x14ac:dyDescent="0.3">
      <c r="B316" s="176" t="s">
        <v>354</v>
      </c>
      <c r="D316" s="116"/>
      <c r="E316" s="173"/>
      <c r="F316" s="176"/>
    </row>
    <row r="317" spans="1:14" x14ac:dyDescent="0.3">
      <c r="B317" s="177"/>
      <c r="D317" s="412">
        <f>$D$24</f>
        <v>2025</v>
      </c>
      <c r="E317" s="412">
        <f>$E$24</f>
        <v>2024</v>
      </c>
      <c r="F317" s="176"/>
    </row>
    <row r="318" spans="1:14" x14ac:dyDescent="0.3">
      <c r="B318" s="177"/>
      <c r="C318" t="s">
        <v>2</v>
      </c>
      <c r="D318" s="220">
        <v>16325280.092499999</v>
      </c>
      <c r="E318" s="220">
        <v>16325280.092499999</v>
      </c>
      <c r="F318" s="176"/>
    </row>
    <row r="319" spans="1:14" x14ac:dyDescent="0.3">
      <c r="B319" s="177"/>
      <c r="C319" t="s">
        <v>358</v>
      </c>
      <c r="D319" s="39" t="s">
        <v>1</v>
      </c>
      <c r="E319" s="39" t="s">
        <v>1</v>
      </c>
      <c r="F319" s="176"/>
    </row>
    <row r="320" spans="1:14" x14ac:dyDescent="0.3">
      <c r="B320"/>
      <c r="C320" t="s">
        <v>49</v>
      </c>
      <c r="D320" s="213"/>
      <c r="E320" s="213"/>
      <c r="F320" s="176"/>
    </row>
    <row r="321" spans="1:10" x14ac:dyDescent="0.3">
      <c r="B321"/>
      <c r="D321" s="446"/>
      <c r="E321" s="446"/>
      <c r="F321" s="176"/>
    </row>
    <row r="322" spans="1:10" ht="15" thickBot="1" x14ac:dyDescent="0.35">
      <c r="B322"/>
      <c r="C322" t="s">
        <v>359</v>
      </c>
      <c r="D322" s="217">
        <f>SUBTOTAL(9,D318:D321)</f>
        <v>16325280.092499999</v>
      </c>
      <c r="E322" s="217">
        <f>SUBTOTAL(9,E318:E321)</f>
        <v>16325280.092499999</v>
      </c>
      <c r="F322" s="176"/>
      <c r="G322" s="574" t="s">
        <v>564</v>
      </c>
      <c r="J322" s="116"/>
    </row>
    <row r="323" spans="1:10" ht="15" thickTop="1" x14ac:dyDescent="0.3">
      <c r="D323" s="69"/>
      <c r="E323" s="69"/>
      <c r="F323" s="134"/>
    </row>
    <row r="324" spans="1:10" ht="15.6" x14ac:dyDescent="0.3">
      <c r="B324" s="618" t="s">
        <v>253</v>
      </c>
      <c r="C324" s="619"/>
      <c r="D324" s="445">
        <v>-40</v>
      </c>
      <c r="E324" s="447"/>
      <c r="F324" s="123"/>
    </row>
    <row r="325" spans="1:10" ht="15.6" x14ac:dyDescent="0.3">
      <c r="C325" t="str">
        <f>'Balance de Comprobación'!C156</f>
        <v>Ayudas y donaciones ocacionales a hogares y personas</v>
      </c>
      <c r="D325" s="100">
        <f>'Balance de Comprobación'!D160</f>
        <v>240000</v>
      </c>
      <c r="E325" s="100">
        <f>'Balance de Comprobación'!F156</f>
        <v>0</v>
      </c>
      <c r="G325" s="34"/>
      <c r="H325" s="34"/>
    </row>
    <row r="326" spans="1:10" ht="15.6" x14ac:dyDescent="0.3">
      <c r="C326" t="str">
        <f>'Balance de Comprobación'!C159</f>
        <v>Transferencias corrientes a asociaciones sin fines de lucro</v>
      </c>
      <c r="D326" s="100">
        <f>'Balance de Comprobación'!D159</f>
        <v>0</v>
      </c>
      <c r="E326" s="100">
        <f>'Balance de Comprobación'!F159</f>
        <v>0</v>
      </c>
      <c r="G326" s="34"/>
      <c r="H326" s="34"/>
    </row>
    <row r="327" spans="1:10" ht="16.2" thickBot="1" x14ac:dyDescent="0.35">
      <c r="C327" s="38"/>
      <c r="D327" s="151"/>
      <c r="E327" s="161"/>
      <c r="G327" s="34"/>
      <c r="H327" s="34"/>
    </row>
    <row r="328" spans="1:10" ht="16.2" thickBot="1" x14ac:dyDescent="0.35">
      <c r="C328" s="104" t="s">
        <v>284</v>
      </c>
      <c r="D328" s="102">
        <f>SUM(D325:D327)</f>
        <v>240000</v>
      </c>
      <c r="E328" s="102">
        <f>SUM(E325:E327)</f>
        <v>0</v>
      </c>
      <c r="F328" s="134"/>
      <c r="G328" s="574" t="s">
        <v>564</v>
      </c>
      <c r="H328" s="34"/>
    </row>
    <row r="329" spans="1:10" x14ac:dyDescent="0.3">
      <c r="D329" s="69"/>
    </row>
    <row r="330" spans="1:10" x14ac:dyDescent="0.3">
      <c r="D330" s="69"/>
    </row>
    <row r="331" spans="1:10" ht="15.6" x14ac:dyDescent="0.3">
      <c r="B331" s="620" t="s">
        <v>528</v>
      </c>
      <c r="C331" s="621"/>
      <c r="D331" s="445">
        <v>-41</v>
      </c>
      <c r="F331" s="134"/>
    </row>
    <row r="332" spans="1:10" s="302" customFormat="1" ht="15.6" x14ac:dyDescent="0.3">
      <c r="A332" s="311"/>
      <c r="B332" s="276"/>
      <c r="C332" s="302" t="s">
        <v>412</v>
      </c>
      <c r="D332" s="374" t="s">
        <v>233</v>
      </c>
      <c r="E332" s="374" t="s">
        <v>233</v>
      </c>
      <c r="F332" s="211"/>
      <c r="H332" s="77" t="s">
        <v>233</v>
      </c>
    </row>
    <row r="333" spans="1:10" x14ac:dyDescent="0.3">
      <c r="A333" s="107">
        <v>99</v>
      </c>
      <c r="B333" s="14"/>
      <c r="D333" s="69"/>
      <c r="E333" s="69"/>
      <c r="F333" s="270"/>
      <c r="H333" s="272" t="str">
        <f>IF(SUM(D333:E333)=0,"",1)</f>
        <v/>
      </c>
    </row>
    <row r="334" spans="1:10" x14ac:dyDescent="0.3">
      <c r="A334" s="107">
        <v>100</v>
      </c>
      <c r="B334" s="16"/>
      <c r="C334" s="99" t="s">
        <v>422</v>
      </c>
      <c r="D334" s="69"/>
      <c r="E334" s="69"/>
      <c r="F334" s="270" t="str">
        <f t="shared" ref="F334:F380" si="14">IF(SUM(C334:E334)=0,"",1)</f>
        <v/>
      </c>
      <c r="H334" s="272" t="str">
        <f>IF(SUM(D334:E334)=0,"",1)</f>
        <v/>
      </c>
    </row>
    <row r="335" spans="1:10" x14ac:dyDescent="0.3">
      <c r="A335" s="107">
        <v>101</v>
      </c>
      <c r="B335" s="14" t="s">
        <v>134</v>
      </c>
      <c r="C335" t="str">
        <f>'Balance de Comprobación'!C104</f>
        <v>TEXTILES Y VESTUARIOS</v>
      </c>
      <c r="D335" s="69">
        <f>'Balance de Comprobación'!D104</f>
        <v>0</v>
      </c>
      <c r="E335" s="69">
        <f>'Balance de Comprobación'!F104</f>
        <v>0</v>
      </c>
      <c r="F335" s="270" t="str">
        <f t="shared" si="14"/>
        <v/>
      </c>
      <c r="H335" s="272" t="str">
        <f>IF(SUM(D335:E335)=0,"",1)</f>
        <v/>
      </c>
    </row>
    <row r="336" spans="1:10" x14ac:dyDescent="0.3">
      <c r="A336" s="107">
        <v>102</v>
      </c>
      <c r="B336" s="14" t="s">
        <v>134</v>
      </c>
      <c r="C336" t="str">
        <f>'Balance de Comprobación'!C105</f>
        <v>Hilados y telas</v>
      </c>
      <c r="D336" s="69">
        <f>'Balance de Comprobación'!D105</f>
        <v>0</v>
      </c>
      <c r="E336" s="69">
        <f>'Balance de Comprobación'!F105</f>
        <v>0</v>
      </c>
      <c r="F336" s="270" t="str">
        <f t="shared" si="14"/>
        <v/>
      </c>
      <c r="H336" s="272" t="str">
        <f>IF(SUM(D336:E336)=0,"",1)</f>
        <v/>
      </c>
    </row>
    <row r="337" spans="1:8" x14ac:dyDescent="0.3">
      <c r="A337" s="107">
        <v>103</v>
      </c>
      <c r="B337" s="116"/>
      <c r="C337" s="116"/>
      <c r="D337" s="116"/>
      <c r="E337" s="116"/>
      <c r="F337" s="270" t="str">
        <f t="shared" si="14"/>
        <v/>
      </c>
      <c r="H337" s="272" t="str">
        <f>IF(SUM(D337:E337)=0,"",1)</f>
        <v/>
      </c>
    </row>
    <row r="338" spans="1:8" s="99" customFormat="1" x14ac:dyDescent="0.3">
      <c r="A338" s="77">
        <v>104</v>
      </c>
      <c r="B338" s="310"/>
      <c r="C338" s="398" t="s">
        <v>413</v>
      </c>
      <c r="D338" s="374" t="s">
        <v>233</v>
      </c>
      <c r="E338" s="374" t="s">
        <v>233</v>
      </c>
      <c r="F338" s="211"/>
      <c r="H338" s="77" t="s">
        <v>233</v>
      </c>
    </row>
    <row r="339" spans="1:8" x14ac:dyDescent="0.3">
      <c r="A339" s="107">
        <v>105</v>
      </c>
      <c r="B339" s="14" t="s">
        <v>134</v>
      </c>
      <c r="C339" t="str">
        <f>'Balance de Comprobación'!C108</f>
        <v>PRODUCTOS DE PAPEL, CARTÓN E IMPRESO</v>
      </c>
      <c r="D339" s="69">
        <f>'Balance de Comprobación'!D108</f>
        <v>0</v>
      </c>
      <c r="E339" s="69">
        <f>'Balance de Comprobación'!F108</f>
        <v>0</v>
      </c>
      <c r="F339" s="270"/>
      <c r="H339" s="272" t="str">
        <f>IF(SUM(D339:E339)=0,"",1)</f>
        <v/>
      </c>
    </row>
    <row r="340" spans="1:8" x14ac:dyDescent="0.3">
      <c r="A340" s="107">
        <v>106</v>
      </c>
      <c r="B340" s="14" t="s">
        <v>134</v>
      </c>
      <c r="C340" t="str">
        <f>'Balance de Comprobación'!C110</f>
        <v>Productos de papel y cartón</v>
      </c>
      <c r="D340" s="69">
        <f>'Balance de Comprobación'!D110</f>
        <v>23458.400000000001</v>
      </c>
      <c r="E340" s="69">
        <f>'Balance de Comprobación'!F110</f>
        <v>25193</v>
      </c>
      <c r="F340" s="270"/>
      <c r="H340" s="272">
        <f>IF(SUM(D340:E340)=0,"",1)</f>
        <v>1</v>
      </c>
    </row>
    <row r="341" spans="1:8" x14ac:dyDescent="0.3">
      <c r="A341" s="107">
        <v>107</v>
      </c>
      <c r="B341" s="14" t="s">
        <v>134</v>
      </c>
      <c r="C341" t="str">
        <f>'Balance de Comprobación'!C111</f>
        <v>Productos de artes gráficas</v>
      </c>
      <c r="D341" s="69">
        <f>'Balance de Comprobación'!D111</f>
        <v>1893.9</v>
      </c>
      <c r="E341" s="69">
        <f>'Balance de Comprobación'!F111</f>
        <v>4524.12</v>
      </c>
      <c r="F341" s="270"/>
      <c r="H341" s="272">
        <f>IF(SUM(D341:E341)=0,"",1)</f>
        <v>1</v>
      </c>
    </row>
    <row r="342" spans="1:8" x14ac:dyDescent="0.3">
      <c r="A342" s="107">
        <v>108</v>
      </c>
      <c r="B342" s="116"/>
      <c r="C342" s="116"/>
      <c r="D342" s="116"/>
      <c r="E342" s="116"/>
      <c r="F342" s="270" t="str">
        <f t="shared" si="14"/>
        <v/>
      </c>
      <c r="H342" s="272" t="str">
        <f>IF(SUM(D342:E342)=0,"",1)</f>
        <v/>
      </c>
    </row>
    <row r="343" spans="1:8" x14ac:dyDescent="0.3">
      <c r="A343" s="107">
        <v>109</v>
      </c>
      <c r="B343" s="16"/>
      <c r="C343" s="398" t="s">
        <v>414</v>
      </c>
      <c r="D343" s="374" t="s">
        <v>233</v>
      </c>
      <c r="E343" s="374" t="s">
        <v>233</v>
      </c>
      <c r="F343" s="211"/>
      <c r="H343" s="107" t="s">
        <v>233</v>
      </c>
    </row>
    <row r="344" spans="1:8" x14ac:dyDescent="0.3">
      <c r="A344" s="107">
        <v>110</v>
      </c>
      <c r="B344" s="14" t="s">
        <v>134</v>
      </c>
      <c r="C344" t="str">
        <f>'Balance de Comprobación'!C114</f>
        <v>Artículos de cuero</v>
      </c>
      <c r="D344" s="69">
        <f>'Balance de Comprobación'!D114</f>
        <v>0</v>
      </c>
      <c r="E344" s="69">
        <f>'Balance de Comprobación'!F114</f>
        <v>0</v>
      </c>
      <c r="F344" s="270" t="str">
        <f t="shared" si="14"/>
        <v/>
      </c>
      <c r="H344" s="272" t="str">
        <f>IF(SUM(D344:E344)=0,"",1)</f>
        <v/>
      </c>
    </row>
    <row r="345" spans="1:8" x14ac:dyDescent="0.3">
      <c r="A345" s="107">
        <v>111</v>
      </c>
      <c r="B345" s="14" t="s">
        <v>134</v>
      </c>
      <c r="C345" t="str">
        <f>'Balance de Comprobación'!C115</f>
        <v>Libros, revistas y periódicos</v>
      </c>
      <c r="D345" s="69">
        <f>'Balance de Comprobación'!D115</f>
        <v>0</v>
      </c>
      <c r="E345" s="69">
        <f>'Balance de Comprobación'!F115</f>
        <v>7700</v>
      </c>
      <c r="F345" s="270">
        <f t="shared" si="14"/>
        <v>1</v>
      </c>
      <c r="H345" s="272">
        <f>IF(SUM(D345:E345)=0,"",1)</f>
        <v>1</v>
      </c>
    </row>
    <row r="346" spans="1:8" x14ac:dyDescent="0.3">
      <c r="A346" s="107">
        <v>112</v>
      </c>
      <c r="B346" s="14" t="s">
        <v>134</v>
      </c>
      <c r="C346" t="str">
        <f>'Balance de Comprobación'!C116</f>
        <v>Llantas y neumáticos</v>
      </c>
      <c r="D346" s="69">
        <f>'Balance de Comprobación'!D116</f>
        <v>103644.66</v>
      </c>
      <c r="E346" s="69">
        <f>'Balance de Comprobación'!F116</f>
        <v>75992</v>
      </c>
      <c r="F346" s="270"/>
      <c r="H346" s="272">
        <f>IF(SUM(D346:E346)=0,"",1)</f>
        <v>1</v>
      </c>
    </row>
    <row r="347" spans="1:8" x14ac:dyDescent="0.3">
      <c r="A347" s="107">
        <v>113</v>
      </c>
      <c r="B347" s="14" t="s">
        <v>134</v>
      </c>
      <c r="C347" t="str">
        <f>'Balance de Comprobación'!C117</f>
        <v>Artículos de caucho</v>
      </c>
      <c r="D347" s="69">
        <f>'Balance de Comprobación'!D117</f>
        <v>0</v>
      </c>
      <c r="E347" s="69">
        <f>'Balance de Comprobación'!F117</f>
        <v>0</v>
      </c>
      <c r="F347" s="270" t="str">
        <f t="shared" si="14"/>
        <v/>
      </c>
      <c r="H347" s="272" t="str">
        <f>IF(SUM(D347:E347)=0,"",1)</f>
        <v/>
      </c>
    </row>
    <row r="348" spans="1:8" x14ac:dyDescent="0.3">
      <c r="A348" s="107">
        <v>114</v>
      </c>
      <c r="B348" s="14" t="s">
        <v>134</v>
      </c>
      <c r="C348" t="str">
        <f>'Balance de Comprobación'!C118</f>
        <v>Artículos de plástico</v>
      </c>
      <c r="D348" s="69">
        <f>'Balance de Comprobación'!D118</f>
        <v>0</v>
      </c>
      <c r="E348" s="69">
        <f>'Balance de Comprobación'!F118</f>
        <v>0</v>
      </c>
      <c r="F348" s="270"/>
      <c r="H348" s="272" t="str">
        <f>IF(SUM(D348:E348)=0,"",1)</f>
        <v/>
      </c>
    </row>
    <row r="349" spans="1:8" s="99" customFormat="1" x14ac:dyDescent="0.3">
      <c r="A349" s="77">
        <v>115</v>
      </c>
      <c r="B349" s="310"/>
      <c r="C349" s="398" t="s">
        <v>426</v>
      </c>
      <c r="D349" s="374" t="s">
        <v>233</v>
      </c>
      <c r="E349" s="374" t="s">
        <v>233</v>
      </c>
      <c r="F349" s="211"/>
      <c r="H349" s="77" t="s">
        <v>233</v>
      </c>
    </row>
    <row r="350" spans="1:8" x14ac:dyDescent="0.3">
      <c r="A350" s="107">
        <v>116</v>
      </c>
      <c r="B350" s="14" t="s">
        <v>134</v>
      </c>
      <c r="C350" t="str">
        <f>'Balance de Comprobación'!C120</f>
        <v>Productos de cemento</v>
      </c>
      <c r="D350" s="69">
        <f>'Balance de Comprobación'!D120</f>
        <v>0</v>
      </c>
      <c r="E350" s="69">
        <f>'Balance de Comprobación'!F120</f>
        <v>0</v>
      </c>
      <c r="F350" s="270" t="str">
        <f t="shared" si="14"/>
        <v/>
      </c>
      <c r="H350" s="272" t="str">
        <f t="shared" ref="H350:H358" si="15">IF(SUM(D350:E350)=0,"",1)</f>
        <v/>
      </c>
    </row>
    <row r="351" spans="1:8" x14ac:dyDescent="0.3">
      <c r="A351" s="107">
        <v>117</v>
      </c>
      <c r="B351" s="14" t="s">
        <v>134</v>
      </c>
      <c r="C351" t="str">
        <f>'Balance de Comprobación'!C121</f>
        <v>Productos de yeso</v>
      </c>
      <c r="D351" s="69">
        <f>'Balance de Comprobación'!D121</f>
        <v>0</v>
      </c>
      <c r="E351" s="69">
        <f>'Balance de Comprobación'!F121</f>
        <v>0</v>
      </c>
      <c r="F351" s="270"/>
      <c r="H351" s="272" t="str">
        <f t="shared" si="15"/>
        <v/>
      </c>
    </row>
    <row r="352" spans="1:8" x14ac:dyDescent="0.3">
      <c r="A352" s="107">
        <v>118</v>
      </c>
      <c r="B352" s="14" t="s">
        <v>134</v>
      </c>
      <c r="C352" t="str">
        <f>'Balance de Comprobación'!C122</f>
        <v>Productos de vidrio</v>
      </c>
      <c r="D352" s="69">
        <f>'Balance de Comprobación'!D122</f>
        <v>0</v>
      </c>
      <c r="E352" s="69">
        <f>'Balance de Comprobación'!F122</f>
        <v>0</v>
      </c>
      <c r="F352" s="270" t="str">
        <f t="shared" si="14"/>
        <v/>
      </c>
      <c r="H352" s="272" t="str">
        <f t="shared" si="15"/>
        <v/>
      </c>
    </row>
    <row r="353" spans="1:8" x14ac:dyDescent="0.3">
      <c r="A353" s="107">
        <v>119</v>
      </c>
      <c r="B353" s="14" t="s">
        <v>134</v>
      </c>
      <c r="C353" t="str">
        <f>'Balance de Comprobación'!C123</f>
        <v>Productos ferrosos</v>
      </c>
      <c r="D353" s="69">
        <f>'Balance de Comprobación'!D123</f>
        <v>0</v>
      </c>
      <c r="E353" s="69">
        <f>'Balance de Comprobación'!F123</f>
        <v>0</v>
      </c>
      <c r="F353" s="270"/>
      <c r="H353" s="272" t="str">
        <f t="shared" si="15"/>
        <v/>
      </c>
    </row>
    <row r="354" spans="1:8" x14ac:dyDescent="0.3">
      <c r="A354" s="107">
        <v>120</v>
      </c>
      <c r="B354" s="14" t="s">
        <v>134</v>
      </c>
      <c r="C354" t="str">
        <f>'Balance de Comprobación'!C124</f>
        <v>Productos no ferrosos</v>
      </c>
      <c r="D354" s="69">
        <f>'Balance de Comprobación'!D124</f>
        <v>0</v>
      </c>
      <c r="E354" s="69">
        <f>'Balance de Comprobación'!F124</f>
        <v>0</v>
      </c>
      <c r="F354" s="270" t="str">
        <f t="shared" si="14"/>
        <v/>
      </c>
      <c r="H354" s="272" t="str">
        <f t="shared" si="15"/>
        <v/>
      </c>
    </row>
    <row r="355" spans="1:8" x14ac:dyDescent="0.3">
      <c r="A355" s="107">
        <v>121</v>
      </c>
      <c r="B355" s="14" t="s">
        <v>134</v>
      </c>
      <c r="C355" t="str">
        <f>'Balance de Comprobación'!C125</f>
        <v>Herramientas menores</v>
      </c>
      <c r="D355" s="69">
        <f>'Balance de Comprobación'!D125</f>
        <v>0</v>
      </c>
      <c r="E355" s="69">
        <f>'Balance de Comprobación'!F125</f>
        <v>0</v>
      </c>
      <c r="F355" s="270"/>
      <c r="H355" s="272" t="str">
        <f t="shared" si="15"/>
        <v/>
      </c>
    </row>
    <row r="356" spans="1:8" x14ac:dyDescent="0.3">
      <c r="A356" s="107">
        <v>122</v>
      </c>
      <c r="B356" s="14" t="s">
        <v>134</v>
      </c>
      <c r="C356" t="str">
        <f>'Balance de Comprobación'!C126</f>
        <v>Productos de hojalata</v>
      </c>
      <c r="D356" s="69">
        <f>'Balance de Comprobación'!D126</f>
        <v>0</v>
      </c>
      <c r="E356" s="69">
        <f>'Balance de Comprobación'!F126</f>
        <v>0</v>
      </c>
      <c r="F356" s="270" t="str">
        <f t="shared" si="14"/>
        <v/>
      </c>
      <c r="H356" s="272" t="str">
        <f t="shared" si="15"/>
        <v/>
      </c>
    </row>
    <row r="357" spans="1:8" x14ac:dyDescent="0.3">
      <c r="A357" s="107">
        <v>123</v>
      </c>
      <c r="B357" s="14" t="s">
        <v>134</v>
      </c>
      <c r="C357" t="str">
        <f>'Balance de Comprobación'!C127</f>
        <v>Accesorios de metal</v>
      </c>
      <c r="D357" s="69">
        <f>'Balance de Comprobación'!D127</f>
        <v>0</v>
      </c>
      <c r="E357" s="69">
        <f>'Balance de Comprobación'!F127</f>
        <v>0</v>
      </c>
      <c r="F357" s="270"/>
      <c r="H357" s="272" t="str">
        <f t="shared" si="15"/>
        <v/>
      </c>
    </row>
    <row r="358" spans="1:8" x14ac:dyDescent="0.3">
      <c r="A358" s="107">
        <v>124</v>
      </c>
      <c r="B358" s="14" t="s">
        <v>134</v>
      </c>
      <c r="C358" t="str">
        <f>'Balance de Comprobación'!C128</f>
        <v>Piedra, arcilla y arena</v>
      </c>
      <c r="D358" s="69">
        <f>'Balance de Comprobación'!D128</f>
        <v>0</v>
      </c>
      <c r="E358" s="69">
        <f>'Balance de Comprobación'!F128</f>
        <v>0</v>
      </c>
      <c r="F358" s="270" t="str">
        <f t="shared" si="14"/>
        <v/>
      </c>
      <c r="H358" s="272" t="str">
        <f t="shared" si="15"/>
        <v/>
      </c>
    </row>
    <row r="359" spans="1:8" x14ac:dyDescent="0.3">
      <c r="A359" s="107">
        <v>125</v>
      </c>
      <c r="B359" s="16"/>
      <c r="C359" s="398" t="s">
        <v>415</v>
      </c>
      <c r="D359" s="374" t="s">
        <v>233</v>
      </c>
      <c r="E359" s="374" t="s">
        <v>233</v>
      </c>
      <c r="F359" s="211"/>
      <c r="H359" s="107" t="s">
        <v>233</v>
      </c>
    </row>
    <row r="360" spans="1:8" x14ac:dyDescent="0.3">
      <c r="A360" s="107">
        <v>126</v>
      </c>
      <c r="B360" s="14" t="s">
        <v>134</v>
      </c>
      <c r="C360" t="str">
        <f>'Balance de Comprobación'!C130</f>
        <v>Gasolina</v>
      </c>
      <c r="D360" s="69">
        <f>'Balance de Comprobación'!D130</f>
        <v>120000</v>
      </c>
      <c r="E360" s="69">
        <f>'Balance de Comprobación'!F130</f>
        <v>259000</v>
      </c>
      <c r="F360" s="270"/>
      <c r="H360" s="272">
        <f t="shared" ref="H360:H366" si="16">IF(SUM(D360:E360)=0,"",1)</f>
        <v>1</v>
      </c>
    </row>
    <row r="361" spans="1:8" x14ac:dyDescent="0.3">
      <c r="A361" s="107">
        <v>127</v>
      </c>
      <c r="B361" s="14" t="s">
        <v>134</v>
      </c>
      <c r="C361" t="str">
        <f>'Balance de Comprobación'!C131</f>
        <v>Gasoil</v>
      </c>
      <c r="D361" s="69">
        <f>'Balance de Comprobación'!D131</f>
        <v>133000</v>
      </c>
      <c r="E361" s="69">
        <f>'Balance de Comprobación'!F131</f>
        <v>500000</v>
      </c>
      <c r="F361" s="270"/>
      <c r="H361" s="272">
        <f t="shared" si="16"/>
        <v>1</v>
      </c>
    </row>
    <row r="362" spans="1:8" x14ac:dyDescent="0.3">
      <c r="A362" s="107">
        <v>128</v>
      </c>
      <c r="B362" s="14" t="s">
        <v>134</v>
      </c>
      <c r="C362" t="str">
        <f>'Balance de Comprobación'!C132</f>
        <v>Aceites y grasas</v>
      </c>
      <c r="D362" s="69">
        <f>'Balance de Comprobación'!D132</f>
        <v>0</v>
      </c>
      <c r="E362" s="69">
        <f>'Balance de Comprobación'!F132</f>
        <v>0</v>
      </c>
      <c r="F362" s="270" t="str">
        <f t="shared" si="14"/>
        <v/>
      </c>
      <c r="H362" s="272" t="str">
        <f t="shared" si="16"/>
        <v/>
      </c>
    </row>
    <row r="363" spans="1:8" x14ac:dyDescent="0.3">
      <c r="B363" s="14"/>
      <c r="C363" t="s">
        <v>574</v>
      </c>
      <c r="D363" s="69">
        <f>'Balance de Comprobación'!D136</f>
        <v>346.92</v>
      </c>
      <c r="E363" s="69"/>
      <c r="F363" s="270"/>
      <c r="H363" s="272"/>
    </row>
    <row r="364" spans="1:8" x14ac:dyDescent="0.3">
      <c r="A364" s="107">
        <v>129</v>
      </c>
      <c r="B364" s="14" t="s">
        <v>134</v>
      </c>
      <c r="C364" t="str">
        <f>'Balance de Comprobación'!C133</f>
        <v>Productos químicos de laboratorio y de uso personal</v>
      </c>
      <c r="D364" s="69">
        <f>'Balance de Comprobación'!D133</f>
        <v>0</v>
      </c>
      <c r="E364" s="69">
        <f>'Balance de Comprobación'!F133</f>
        <v>0</v>
      </c>
      <c r="F364" s="270" t="str">
        <f t="shared" si="14"/>
        <v/>
      </c>
      <c r="H364" s="272" t="str">
        <f t="shared" si="16"/>
        <v/>
      </c>
    </row>
    <row r="365" spans="1:8" x14ac:dyDescent="0.3">
      <c r="A365" s="107">
        <v>130</v>
      </c>
      <c r="B365" s="14" t="s">
        <v>134</v>
      </c>
      <c r="C365" t="str">
        <f>'Balance de Comprobación'!C134</f>
        <v>Insecticidas, fumigantes y otros</v>
      </c>
      <c r="D365" s="69">
        <f>'Balance de Comprobación'!D134</f>
        <v>0</v>
      </c>
      <c r="E365" s="69">
        <f>'Balance de Comprobación'!F134</f>
        <v>0</v>
      </c>
      <c r="F365" s="270" t="str">
        <f t="shared" si="14"/>
        <v/>
      </c>
      <c r="H365" s="272" t="str">
        <f t="shared" si="16"/>
        <v/>
      </c>
    </row>
    <row r="366" spans="1:8" x14ac:dyDescent="0.3">
      <c r="A366" s="107">
        <v>131</v>
      </c>
      <c r="B366" s="14" t="s">
        <v>134</v>
      </c>
      <c r="C366" t="str">
        <f>'Balance de Comprobación'!C135</f>
        <v>Pinturas, lacas, barnices, diluyentes y absorbentes para pinturas</v>
      </c>
      <c r="D366" s="69">
        <f>'Balance de Comprobación'!D135</f>
        <v>0</v>
      </c>
      <c r="E366" s="69">
        <f>'Balance de Comprobación'!F135</f>
        <v>0</v>
      </c>
      <c r="F366" s="270" t="str">
        <f t="shared" si="14"/>
        <v/>
      </c>
      <c r="H366" s="272" t="str">
        <f t="shared" si="16"/>
        <v/>
      </c>
    </row>
    <row r="367" spans="1:8" x14ac:dyDescent="0.3">
      <c r="A367" s="107">
        <v>132</v>
      </c>
      <c r="B367" s="16"/>
      <c r="C367" s="398" t="s">
        <v>206</v>
      </c>
      <c r="D367" s="374" t="s">
        <v>233</v>
      </c>
      <c r="E367" s="374" t="s">
        <v>233</v>
      </c>
      <c r="F367" s="211"/>
      <c r="H367" s="107" t="s">
        <v>233</v>
      </c>
    </row>
    <row r="368" spans="1:8" x14ac:dyDescent="0.3">
      <c r="A368" s="107">
        <v>133</v>
      </c>
      <c r="B368" s="14" t="s">
        <v>134</v>
      </c>
      <c r="C368" t="str">
        <f>'Balance de Comprobación'!C138</f>
        <v>Material para limpieza</v>
      </c>
      <c r="D368" s="69">
        <f>'Balance de Comprobación'!D138</f>
        <v>17248.16</v>
      </c>
      <c r="E368" s="69">
        <f>'Balance de Comprobación'!F138</f>
        <v>8182.12</v>
      </c>
      <c r="F368" s="270"/>
      <c r="H368" s="272">
        <f t="shared" ref="H368:H382" si="17">IF(SUM(D368:E368)=0,"",1)</f>
        <v>1</v>
      </c>
    </row>
    <row r="369" spans="1:9" x14ac:dyDescent="0.3">
      <c r="A369" s="107">
        <v>134</v>
      </c>
      <c r="B369" s="14" t="s">
        <v>134</v>
      </c>
      <c r="C369" t="str">
        <f>'Balance de Comprobación'!C139</f>
        <v>Útiles de escritorio, oficina e informática </v>
      </c>
      <c r="D369" s="69">
        <f>'Balance de Comprobación'!D139</f>
        <v>147042.47</v>
      </c>
      <c r="E369" s="69">
        <f>'Balance de Comprobación'!F139</f>
        <v>152971.02000000002</v>
      </c>
      <c r="F369" s="270"/>
      <c r="H369" s="272">
        <f t="shared" si="17"/>
        <v>1</v>
      </c>
    </row>
    <row r="370" spans="1:9" x14ac:dyDescent="0.3">
      <c r="A370" s="107">
        <v>135</v>
      </c>
      <c r="B370" s="14" t="s">
        <v>134</v>
      </c>
      <c r="C370" t="str">
        <f>'Balance de Comprobación'!C140</f>
        <v>Útiles menores médico quirurgicos</v>
      </c>
      <c r="D370" s="69">
        <f>'Balance de Comprobación'!D140</f>
        <v>0</v>
      </c>
      <c r="E370" s="69">
        <f>'Balance de Comprobación'!F140</f>
        <v>0</v>
      </c>
      <c r="F370" s="270" t="str">
        <f t="shared" si="14"/>
        <v/>
      </c>
      <c r="H370" s="272" t="str">
        <f t="shared" si="17"/>
        <v/>
      </c>
    </row>
    <row r="371" spans="1:9" x14ac:dyDescent="0.3">
      <c r="A371" s="107">
        <v>136</v>
      </c>
      <c r="B371" s="14" t="s">
        <v>134</v>
      </c>
      <c r="C371" t="str">
        <f>'Balance de Comprobación'!C141</f>
        <v>Útiles destinados a actividades deportivas y recreativas</v>
      </c>
      <c r="D371" s="69">
        <f>'Balance de Comprobación'!D141</f>
        <v>0</v>
      </c>
      <c r="E371" s="69">
        <f>'Balance de Comprobación'!F141</f>
        <v>0</v>
      </c>
      <c r="F371" s="270" t="str">
        <f t="shared" si="14"/>
        <v/>
      </c>
      <c r="H371" s="272" t="str">
        <f t="shared" si="17"/>
        <v/>
      </c>
    </row>
    <row r="372" spans="1:9" x14ac:dyDescent="0.3">
      <c r="A372" s="107">
        <v>137</v>
      </c>
      <c r="B372" s="14" t="s">
        <v>134</v>
      </c>
      <c r="C372" t="str">
        <f>'Balance de Comprobación'!C142</f>
        <v>Útiles destinados a actividades deportivas y recreativas</v>
      </c>
      <c r="D372" s="69">
        <f>'Balance de Comprobación'!D142</f>
        <v>0</v>
      </c>
      <c r="E372" s="69">
        <f>'Balance de Comprobación'!F142</f>
        <v>0</v>
      </c>
      <c r="F372" s="270" t="str">
        <f t="shared" si="14"/>
        <v/>
      </c>
      <c r="H372" s="272" t="str">
        <f t="shared" si="17"/>
        <v/>
      </c>
    </row>
    <row r="373" spans="1:9" x14ac:dyDescent="0.3">
      <c r="B373" s="14"/>
      <c r="C373" t="s">
        <v>212</v>
      </c>
      <c r="D373" s="69">
        <f>'Balance de Comprobación'!D143</f>
        <v>16541.240000000002</v>
      </c>
      <c r="E373" s="69"/>
      <c r="F373" s="270"/>
      <c r="H373" s="272"/>
    </row>
    <row r="374" spans="1:9" x14ac:dyDescent="0.3">
      <c r="A374" s="107">
        <v>138</v>
      </c>
      <c r="B374" s="14" t="s">
        <v>134</v>
      </c>
      <c r="C374" t="str">
        <f>'Balance de Comprobación'!C144</f>
        <v>Productos eléctricos y afines</v>
      </c>
      <c r="D374" s="69">
        <f>'Balance de Comprobación'!D144</f>
        <v>39000</v>
      </c>
      <c r="E374" s="69">
        <f>'Balance de Comprobación'!F144</f>
        <v>27730</v>
      </c>
      <c r="F374" s="270">
        <f t="shared" si="14"/>
        <v>1</v>
      </c>
      <c r="H374" s="272">
        <f t="shared" si="17"/>
        <v>1</v>
      </c>
    </row>
    <row r="375" spans="1:9" x14ac:dyDescent="0.3">
      <c r="A375" s="107">
        <v>139</v>
      </c>
      <c r="B375" s="14" t="s">
        <v>134</v>
      </c>
      <c r="C375" t="str">
        <f>'Balance de Comprobación'!C145</f>
        <v xml:space="preserve">Productos y utiles veterinarios </v>
      </c>
      <c r="D375" s="69">
        <f>'Balance de Comprobación'!D145</f>
        <v>0</v>
      </c>
      <c r="E375" s="69">
        <f>'Balance de Comprobación'!F145</f>
        <v>0</v>
      </c>
      <c r="F375" s="270" t="str">
        <f t="shared" si="14"/>
        <v/>
      </c>
      <c r="H375" s="272" t="str">
        <f t="shared" si="17"/>
        <v/>
      </c>
    </row>
    <row r="376" spans="1:9" x14ac:dyDescent="0.3">
      <c r="A376" s="107">
        <v>140</v>
      </c>
      <c r="B376" s="14" t="s">
        <v>134</v>
      </c>
      <c r="C376" t="str">
        <f>'Balance de Comprobación'!C146</f>
        <v>Repuestos y accesorios menores</v>
      </c>
      <c r="D376" s="69">
        <f>'Balance de Comprobación'!D146</f>
        <v>52982</v>
      </c>
      <c r="E376" s="69">
        <f>'Balance de Comprobación'!F146</f>
        <v>0</v>
      </c>
      <c r="F376" s="270">
        <f t="shared" si="14"/>
        <v>1</v>
      </c>
      <c r="H376" s="272">
        <f t="shared" si="17"/>
        <v>1</v>
      </c>
    </row>
    <row r="377" spans="1:9" x14ac:dyDescent="0.3">
      <c r="B377" s="14"/>
      <c r="C377" t="s">
        <v>577</v>
      </c>
      <c r="D377" s="69">
        <f>'Balance de Comprobación'!D147</f>
        <v>29795</v>
      </c>
      <c r="E377" s="69"/>
      <c r="F377" s="270"/>
      <c r="H377" s="272"/>
    </row>
    <row r="378" spans="1:9" x14ac:dyDescent="0.3">
      <c r="A378" s="107">
        <v>141</v>
      </c>
      <c r="B378" s="14" t="s">
        <v>134</v>
      </c>
      <c r="C378" t="str">
        <f>'Balance de Comprobación'!C148</f>
        <v>Productos y útiles varios</v>
      </c>
      <c r="D378" s="69">
        <f>'Balance de Comprobación'!D148</f>
        <v>0</v>
      </c>
      <c r="E378" s="69">
        <f>'Balance de Comprobación'!F148</f>
        <v>0</v>
      </c>
      <c r="F378" s="270" t="str">
        <f t="shared" si="14"/>
        <v/>
      </c>
      <c r="H378" s="272" t="str">
        <f t="shared" si="17"/>
        <v/>
      </c>
    </row>
    <row r="379" spans="1:9" x14ac:dyDescent="0.3">
      <c r="A379" s="107">
        <v>142</v>
      </c>
      <c r="B379" s="167"/>
      <c r="C379" s="429" t="s">
        <v>210</v>
      </c>
      <c r="D379" s="69"/>
      <c r="E379" s="69"/>
      <c r="F379" s="270" t="str">
        <f t="shared" si="14"/>
        <v/>
      </c>
      <c r="H379" s="272" t="str">
        <f t="shared" si="17"/>
        <v/>
      </c>
    </row>
    <row r="380" spans="1:9" x14ac:dyDescent="0.3">
      <c r="A380" s="107">
        <v>143</v>
      </c>
      <c r="B380" s="167"/>
      <c r="C380" s="429">
        <f>'Balance de Comprobación'!C152</f>
        <v>0</v>
      </c>
      <c r="D380" s="69">
        <f>'Balance de Comprobación'!D152</f>
        <v>0</v>
      </c>
      <c r="E380" s="69">
        <f>'Balance de Comprobación'!F152</f>
        <v>0</v>
      </c>
      <c r="F380" s="270" t="str">
        <f t="shared" si="14"/>
        <v/>
      </c>
      <c r="H380" s="272" t="str">
        <f t="shared" si="17"/>
        <v/>
      </c>
    </row>
    <row r="381" spans="1:9" ht="15" thickBot="1" x14ac:dyDescent="0.35">
      <c r="A381" s="107">
        <v>144</v>
      </c>
      <c r="B381" s="167"/>
      <c r="C381" s="134"/>
      <c r="D381" s="134"/>
      <c r="E381" s="134"/>
      <c r="F381" s="210"/>
      <c r="H381" s="272" t="str">
        <f t="shared" si="17"/>
        <v/>
      </c>
    </row>
    <row r="382" spans="1:9" ht="15" thickBot="1" x14ac:dyDescent="0.35">
      <c r="C382" s="104" t="s">
        <v>284</v>
      </c>
      <c r="D382" s="102">
        <f>SUBTOTAL(9,D332:D380)</f>
        <v>684952.75</v>
      </c>
      <c r="E382" s="102">
        <f>SUM(E333:E381)</f>
        <v>1061292.26</v>
      </c>
      <c r="F382" s="210"/>
      <c r="H382" s="272">
        <f t="shared" si="17"/>
        <v>1</v>
      </c>
      <c r="I382" s="116" t="s">
        <v>520</v>
      </c>
    </row>
    <row r="383" spans="1:9" x14ac:dyDescent="0.3">
      <c r="D383" s="69">
        <f>SUM(D332,D338,D343,D349,D359,D367)</f>
        <v>0</v>
      </c>
      <c r="E383" s="69">
        <f>SUM(E332,E338,E343,E349,E359,E367)</f>
        <v>0</v>
      </c>
      <c r="F383" s="134"/>
    </row>
    <row r="384" spans="1:9" x14ac:dyDescent="0.3">
      <c r="B384" s="170" t="s">
        <v>360</v>
      </c>
      <c r="H384" s="43"/>
    </row>
    <row r="385" spans="1:9" x14ac:dyDescent="0.3">
      <c r="B385" s="160">
        <v>6228201</v>
      </c>
      <c r="C385" s="439" t="s">
        <v>367</v>
      </c>
      <c r="D385" s="69">
        <f>'Balance de Comprobación'!D88</f>
        <v>1619.88</v>
      </c>
      <c r="E385" s="137">
        <f>'Balance de Comprobación'!F88</f>
        <v>1684.8</v>
      </c>
      <c r="H385" s="43"/>
    </row>
    <row r="386" spans="1:9" x14ac:dyDescent="0.3">
      <c r="B386" s="160"/>
      <c r="C386" s="439"/>
      <c r="D386" s="137"/>
      <c r="E386" s="137"/>
      <c r="H386" s="43"/>
    </row>
    <row r="387" spans="1:9" ht="15" thickBot="1" x14ac:dyDescent="0.35">
      <c r="B387"/>
      <c r="D387" s="448">
        <f>SUM(D384:D386)</f>
        <v>1619.88</v>
      </c>
      <c r="E387" s="448">
        <f>SUM(E384:E386)</f>
        <v>1684.8</v>
      </c>
      <c r="G387" s="105" t="s">
        <v>532</v>
      </c>
      <c r="H387" s="43"/>
      <c r="I387" s="116"/>
    </row>
    <row r="388" spans="1:9" ht="15" thickTop="1" x14ac:dyDescent="0.3">
      <c r="B388"/>
      <c r="D388" s="430">
        <f>'Balance de Comprobación'!D88-Datos!D387</f>
        <v>0</v>
      </c>
      <c r="E388" s="430">
        <f>'Balance de Comprobación'!F88-Datos!E387</f>
        <v>0</v>
      </c>
      <c r="H388" s="43"/>
    </row>
    <row r="389" spans="1:9" x14ac:dyDescent="0.3">
      <c r="B389"/>
      <c r="H389" s="43"/>
    </row>
    <row r="390" spans="1:9" ht="15.6" x14ac:dyDescent="0.3">
      <c r="A390" s="618" t="s">
        <v>255</v>
      </c>
      <c r="B390" s="617"/>
      <c r="D390" s="39"/>
      <c r="E390" s="69"/>
      <c r="F390" s="134"/>
    </row>
    <row r="391" spans="1:9" x14ac:dyDescent="0.3">
      <c r="C391" s="449" t="s">
        <v>346</v>
      </c>
      <c r="D391" s="431">
        <f>Datos!O116</f>
        <v>1240404.5799999991</v>
      </c>
      <c r="E391" s="432">
        <v>854070.79000000283</v>
      </c>
      <c r="F391" s="9"/>
    </row>
    <row r="392" spans="1:9" x14ac:dyDescent="0.3">
      <c r="C392" s="450" t="s">
        <v>41</v>
      </c>
      <c r="D392" s="431"/>
      <c r="E392" s="432"/>
      <c r="F392" s="9"/>
    </row>
    <row r="393" spans="1:9" ht="15" thickBot="1" x14ac:dyDescent="0.35">
      <c r="C393" s="450"/>
      <c r="D393" s="448">
        <f>SUM(D391:D392)</f>
        <v>1240404.5799999991</v>
      </c>
      <c r="E393" s="448">
        <f>SUM(E391:E392)</f>
        <v>854070.79000000283</v>
      </c>
      <c r="F393" s="134"/>
      <c r="I393" s="116"/>
    </row>
    <row r="394" spans="1:9" ht="15" thickTop="1" x14ac:dyDescent="0.3">
      <c r="D394" s="69"/>
      <c r="E394" s="69"/>
      <c r="F394" s="134"/>
    </row>
    <row r="395" spans="1:9" ht="15.6" x14ac:dyDescent="0.3">
      <c r="A395" s="617" t="s">
        <v>522</v>
      </c>
      <c r="B395" s="617"/>
      <c r="D395" s="445">
        <v>-44</v>
      </c>
      <c r="E395" s="69"/>
    </row>
    <row r="396" spans="1:9" ht="15.6" x14ac:dyDescent="0.3">
      <c r="A396" s="264"/>
      <c r="B396"/>
      <c r="C396" s="398" t="s">
        <v>424</v>
      </c>
      <c r="D396" s="445"/>
      <c r="E396" s="69"/>
      <c r="F396" s="270" t="str">
        <f t="shared" ref="F396:F445" si="18">IF(SUM(C396:E396)=0,"",1)</f>
        <v/>
      </c>
      <c r="H396" s="107" t="s">
        <v>233</v>
      </c>
    </row>
    <row r="397" spans="1:9" ht="15.6" x14ac:dyDescent="0.3">
      <c r="A397" s="264"/>
      <c r="B397"/>
      <c r="C397" s="398" t="s">
        <v>425</v>
      </c>
      <c r="D397" s="305">
        <f>SUM(D398:D402)</f>
        <v>1111529.69</v>
      </c>
      <c r="E397" s="305">
        <f>SUM(E398:E402)</f>
        <v>872158.74</v>
      </c>
      <c r="F397" s="270">
        <f t="shared" si="18"/>
        <v>1</v>
      </c>
      <c r="G397" s="72" t="s">
        <v>233</v>
      </c>
      <c r="H397" s="107" t="s">
        <v>233</v>
      </c>
    </row>
    <row r="398" spans="1:9" x14ac:dyDescent="0.3">
      <c r="A398" s="107">
        <v>56</v>
      </c>
      <c r="B398" s="107" t="s">
        <v>84</v>
      </c>
      <c r="C398" t="str">
        <f>'Balance de Comprobación'!C57</f>
        <v>Servicios telefónico de larga distancia</v>
      </c>
      <c r="D398" s="69">
        <f>'Balance de Comprobación'!D57</f>
        <v>0</v>
      </c>
      <c r="E398" s="69">
        <f>'Balance de Comprobación'!F57</f>
        <v>0</v>
      </c>
      <c r="F398" s="270" t="str">
        <f t="shared" si="18"/>
        <v/>
      </c>
      <c r="G398" s="272" t="str">
        <f>IF(SUM(C398:D398)=0,"",1)</f>
        <v/>
      </c>
      <c r="H398" s="272" t="str">
        <f>IF(SUM(D398:E398)=0,"",1)</f>
        <v/>
      </c>
    </row>
    <row r="399" spans="1:9" x14ac:dyDescent="0.3">
      <c r="A399" s="107">
        <v>57</v>
      </c>
      <c r="B399" s="107" t="s">
        <v>84</v>
      </c>
      <c r="C399" t="str">
        <f>'Balance de Comprobación'!C58</f>
        <v>Teléfono local</v>
      </c>
      <c r="D399" s="69">
        <f>'Balance de Comprobación'!D58</f>
        <v>623343.5</v>
      </c>
      <c r="E399" s="69">
        <v>507486.07999999996</v>
      </c>
      <c r="F399" s="270">
        <f t="shared" si="18"/>
        <v>1</v>
      </c>
      <c r="G399" s="272"/>
      <c r="H399" s="272">
        <f t="shared" ref="H399:H427" si="19">IF(SUM(D399:E399)=0,"",1)</f>
        <v>1</v>
      </c>
    </row>
    <row r="400" spans="1:9" x14ac:dyDescent="0.3">
      <c r="A400" s="107">
        <v>58</v>
      </c>
      <c r="B400" s="107" t="s">
        <v>84</v>
      </c>
      <c r="C400" t="str">
        <f>'Balance de Comprobación'!C59</f>
        <v>Telefax y correo</v>
      </c>
      <c r="D400" s="69">
        <f>'Balance de Comprobación'!D59</f>
        <v>0</v>
      </c>
      <c r="E400" s="69">
        <v>0</v>
      </c>
      <c r="F400" s="270" t="str">
        <f t="shared" si="18"/>
        <v/>
      </c>
      <c r="G400" s="272"/>
      <c r="H400" s="272" t="str">
        <f t="shared" si="19"/>
        <v/>
      </c>
    </row>
    <row r="401" spans="1:8" x14ac:dyDescent="0.3">
      <c r="A401" s="107">
        <v>59</v>
      </c>
      <c r="B401" s="107" t="s">
        <v>84</v>
      </c>
      <c r="C401" t="str">
        <f>'Balance de Comprobación'!C60</f>
        <v>Servicio de internet y televisión por cable</v>
      </c>
      <c r="D401" s="69">
        <f>'Balance de Comprobación'!D60</f>
        <v>279356.06</v>
      </c>
      <c r="E401" s="69">
        <v>67193.02</v>
      </c>
      <c r="F401" s="270">
        <f t="shared" si="18"/>
        <v>1</v>
      </c>
      <c r="G401" s="272"/>
      <c r="H401" s="272">
        <f t="shared" si="19"/>
        <v>1</v>
      </c>
    </row>
    <row r="402" spans="1:8" x14ac:dyDescent="0.3">
      <c r="A402" s="107">
        <v>60</v>
      </c>
      <c r="B402" s="107" t="s">
        <v>84</v>
      </c>
      <c r="C402" t="str">
        <f>'Balance de Comprobación'!C61</f>
        <v>Energía eléctrica,agua y Rec.Residuos sólidos</v>
      </c>
      <c r="D402" s="69">
        <f>'Balance de Comprobación'!D61</f>
        <v>208830.12999999998</v>
      </c>
      <c r="E402" s="69">
        <v>297479.64</v>
      </c>
      <c r="F402" s="270">
        <f t="shared" si="18"/>
        <v>1</v>
      </c>
      <c r="G402" s="272"/>
      <c r="H402" s="272">
        <f t="shared" si="19"/>
        <v>1</v>
      </c>
    </row>
    <row r="403" spans="1:8" x14ac:dyDescent="0.3">
      <c r="A403" s="107">
        <v>61</v>
      </c>
      <c r="C403" s="99" t="s">
        <v>427</v>
      </c>
      <c r="D403" s="305">
        <f>SUM(D404:D405)</f>
        <v>0</v>
      </c>
      <c r="E403" s="305">
        <f>SUM(E404:E405)</f>
        <v>215468</v>
      </c>
      <c r="F403" s="270">
        <f t="shared" si="18"/>
        <v>1</v>
      </c>
      <c r="G403" s="477" t="s">
        <v>233</v>
      </c>
      <c r="H403" s="107" t="s">
        <v>233</v>
      </c>
    </row>
    <row r="404" spans="1:8" x14ac:dyDescent="0.3">
      <c r="A404" s="107">
        <v>62</v>
      </c>
      <c r="B404" s="107" t="s">
        <v>84</v>
      </c>
      <c r="C404" t="str">
        <f>'Balance de Comprobación'!C63</f>
        <v>Publicidad y propaganda</v>
      </c>
      <c r="D404" s="69">
        <f>'Balance de Comprobación'!D63</f>
        <v>0</v>
      </c>
      <c r="E404" s="69">
        <f>'Balance de Comprobación'!F63</f>
        <v>0</v>
      </c>
      <c r="F404" s="270" t="str">
        <f t="shared" si="18"/>
        <v/>
      </c>
      <c r="H404" s="272" t="str">
        <f t="shared" si="19"/>
        <v/>
      </c>
    </row>
    <row r="405" spans="1:8" x14ac:dyDescent="0.3">
      <c r="A405" s="107">
        <v>63</v>
      </c>
      <c r="B405" s="107" t="s">
        <v>84</v>
      </c>
      <c r="C405" t="str">
        <f>'Balance de Comprobación'!C64</f>
        <v>Impresión y encuadernación</v>
      </c>
      <c r="D405" s="69">
        <f>'Balance de Comprobación'!D64</f>
        <v>0</v>
      </c>
      <c r="E405" s="69">
        <f>'Balance de Comprobación'!F64</f>
        <v>215468</v>
      </c>
      <c r="F405" s="270">
        <f t="shared" si="18"/>
        <v>1</v>
      </c>
      <c r="H405" s="272">
        <f t="shared" si="19"/>
        <v>1</v>
      </c>
    </row>
    <row r="406" spans="1:8" x14ac:dyDescent="0.3">
      <c r="A406" s="107">
        <v>64</v>
      </c>
      <c r="C406" s="99" t="s">
        <v>428</v>
      </c>
      <c r="D406" s="305">
        <f>SUM(D407:D408)</f>
        <v>1160030.54</v>
      </c>
      <c r="E406" s="305">
        <f>SUM(E407:E408)</f>
        <v>763479.11</v>
      </c>
      <c r="F406" s="270">
        <f t="shared" si="18"/>
        <v>1</v>
      </c>
      <c r="G406" s="72" t="s">
        <v>233</v>
      </c>
      <c r="H406" s="107" t="s">
        <v>233</v>
      </c>
    </row>
    <row r="407" spans="1:8" x14ac:dyDescent="0.3">
      <c r="A407" s="107">
        <v>65</v>
      </c>
      <c r="B407" s="107" t="s">
        <v>84</v>
      </c>
      <c r="C407" t="str">
        <f>'Balance de Comprobación'!C66</f>
        <v>Viáticos dentro del país</v>
      </c>
      <c r="D407" s="69">
        <f>'Balance de Comprobación'!D66</f>
        <v>1040571.7400000001</v>
      </c>
      <c r="E407" s="69">
        <f>'Balance de Comprobación'!F66</f>
        <v>763479.11</v>
      </c>
      <c r="F407" s="270">
        <f t="shared" si="18"/>
        <v>1</v>
      </c>
      <c r="H407" s="272">
        <f t="shared" si="19"/>
        <v>1</v>
      </c>
    </row>
    <row r="408" spans="1:8" x14ac:dyDescent="0.3">
      <c r="A408" s="107">
        <v>66</v>
      </c>
      <c r="B408" s="107" t="s">
        <v>84</v>
      </c>
      <c r="C408" t="str">
        <f>'Balance de Comprobación'!C67</f>
        <v>Viáticos fuera del país</v>
      </c>
      <c r="D408" s="69">
        <f>'Balance de Comprobación'!D67</f>
        <v>119458.8</v>
      </c>
      <c r="E408" s="69">
        <f>'Balance de Comprobación'!F67</f>
        <v>0</v>
      </c>
      <c r="F408" s="270">
        <f t="shared" si="18"/>
        <v>1</v>
      </c>
      <c r="H408" s="272">
        <f t="shared" si="19"/>
        <v>1</v>
      </c>
    </row>
    <row r="409" spans="1:8" x14ac:dyDescent="0.3">
      <c r="A409" s="107">
        <v>67</v>
      </c>
      <c r="C409" s="398" t="s">
        <v>429</v>
      </c>
      <c r="D409" s="305">
        <f>SUM(D410:D411)</f>
        <v>347833.06000000006</v>
      </c>
      <c r="E409" s="305">
        <f>SUM(E410:E411)</f>
        <v>0</v>
      </c>
      <c r="F409" s="270">
        <f t="shared" si="18"/>
        <v>1</v>
      </c>
      <c r="G409" s="72" t="s">
        <v>233</v>
      </c>
      <c r="H409" s="107" t="s">
        <v>233</v>
      </c>
    </row>
    <row r="410" spans="1:8" x14ac:dyDescent="0.3">
      <c r="A410" s="107">
        <v>68</v>
      </c>
      <c r="B410" s="107" t="s">
        <v>84</v>
      </c>
      <c r="C410" t="str">
        <f>'Balance de Comprobación'!C69</f>
        <v>Pasajes</v>
      </c>
      <c r="D410" s="69">
        <f>'Balance de Comprobación'!D69</f>
        <v>302833.06000000006</v>
      </c>
      <c r="E410" s="69">
        <f>'Balance de Comprobación'!F69</f>
        <v>0</v>
      </c>
      <c r="F410" s="270">
        <f t="shared" si="18"/>
        <v>1</v>
      </c>
      <c r="H410" s="272">
        <f t="shared" si="19"/>
        <v>1</v>
      </c>
    </row>
    <row r="411" spans="1:8" x14ac:dyDescent="0.3">
      <c r="A411" s="107">
        <v>69</v>
      </c>
      <c r="B411" s="107" t="s">
        <v>84</v>
      </c>
      <c r="C411" t="str">
        <f>'Balance de Comprobación'!C70</f>
        <v>Peajes</v>
      </c>
      <c r="D411" s="69">
        <f>'Balance de Comprobación'!D70</f>
        <v>45000</v>
      </c>
      <c r="E411" s="69">
        <f>'Balance de Comprobación'!F70</f>
        <v>0</v>
      </c>
      <c r="F411" s="270">
        <f t="shared" si="18"/>
        <v>1</v>
      </c>
      <c r="H411" s="272">
        <f t="shared" si="19"/>
        <v>1</v>
      </c>
    </row>
    <row r="412" spans="1:8" x14ac:dyDescent="0.3">
      <c r="C412" s="39" t="s">
        <v>533</v>
      </c>
      <c r="D412" s="69">
        <f>'Balance de Comprobación'!D74</f>
        <v>163000</v>
      </c>
      <c r="E412" s="69"/>
      <c r="F412" s="270"/>
      <c r="H412" s="272"/>
    </row>
    <row r="413" spans="1:8" x14ac:dyDescent="0.3">
      <c r="A413" s="107">
        <v>70</v>
      </c>
      <c r="C413" s="398" t="s">
        <v>430</v>
      </c>
      <c r="D413" s="305">
        <f>SUM(D414:D416)</f>
        <v>0</v>
      </c>
      <c r="E413" s="305">
        <f>SUM(E414:E416)</f>
        <v>0</v>
      </c>
      <c r="F413" s="270" t="str">
        <f t="shared" si="18"/>
        <v/>
      </c>
      <c r="G413" s="72" t="s">
        <v>233</v>
      </c>
      <c r="H413" s="107" t="s">
        <v>233</v>
      </c>
    </row>
    <row r="414" spans="1:8" x14ac:dyDescent="0.3">
      <c r="A414" s="107">
        <v>71</v>
      </c>
      <c r="B414" s="107" t="s">
        <v>84</v>
      </c>
      <c r="C414" t="str">
        <f>'Balance de Comprobación'!C72</f>
        <v>Edificios y locales</v>
      </c>
      <c r="D414" s="69">
        <f>'Balance de Comprobación'!D72</f>
        <v>0</v>
      </c>
      <c r="E414" s="69">
        <f>'Balance de Comprobación'!F72</f>
        <v>0</v>
      </c>
      <c r="F414" s="270" t="str">
        <f t="shared" si="18"/>
        <v/>
      </c>
      <c r="H414" s="272" t="str">
        <f t="shared" si="19"/>
        <v/>
      </c>
    </row>
    <row r="415" spans="1:8" x14ac:dyDescent="0.3">
      <c r="A415" s="107">
        <v>72</v>
      </c>
      <c r="B415" s="107" t="s">
        <v>84</v>
      </c>
      <c r="C415" t="str">
        <f>'Balance de Comprobación'!C73</f>
        <v>Alquiler de vehículo</v>
      </c>
      <c r="D415" s="69">
        <f>'Balance de Comprobación'!D73</f>
        <v>0</v>
      </c>
      <c r="E415" s="69">
        <f>'Balance de Comprobación'!F73</f>
        <v>0</v>
      </c>
      <c r="F415" s="270" t="str">
        <f t="shared" si="18"/>
        <v/>
      </c>
      <c r="H415" s="272" t="str">
        <f t="shared" si="19"/>
        <v/>
      </c>
    </row>
    <row r="416" spans="1:8" x14ac:dyDescent="0.3">
      <c r="A416" s="107">
        <v>73</v>
      </c>
      <c r="B416" s="107" t="s">
        <v>84</v>
      </c>
      <c r="C416" t="str">
        <f>'Balance de Comprobación'!C75</f>
        <v>Otros alquileres</v>
      </c>
      <c r="D416" s="69">
        <f>'Balance de Comprobación'!D75</f>
        <v>0</v>
      </c>
      <c r="E416" s="69">
        <f>'Balance de Comprobación'!F75</f>
        <v>0</v>
      </c>
      <c r="F416" s="270" t="str">
        <f t="shared" si="18"/>
        <v/>
      </c>
      <c r="H416" s="272" t="str">
        <f t="shared" si="19"/>
        <v/>
      </c>
    </row>
    <row r="417" spans="1:8" x14ac:dyDescent="0.3">
      <c r="A417" s="107">
        <v>74</v>
      </c>
      <c r="C417" s="398" t="s">
        <v>431</v>
      </c>
      <c r="D417" s="305">
        <f>SUM(D418:D419)</f>
        <v>2107982.4699999997</v>
      </c>
      <c r="E417" s="305">
        <f>SUM(E418:E419)</f>
        <v>1789082.56</v>
      </c>
      <c r="F417" s="270">
        <f t="shared" si="18"/>
        <v>1</v>
      </c>
      <c r="G417" s="72" t="s">
        <v>233</v>
      </c>
      <c r="H417" s="107" t="s">
        <v>233</v>
      </c>
    </row>
    <row r="418" spans="1:8" x14ac:dyDescent="0.3">
      <c r="A418" s="107">
        <v>75</v>
      </c>
      <c r="B418" s="107" t="s">
        <v>84</v>
      </c>
      <c r="C418" t="str">
        <f>'Balance de Comprobación'!C77</f>
        <v>Seguro de bienes muebles</v>
      </c>
      <c r="D418" s="69">
        <f>'Balance de Comprobación'!D77</f>
        <v>0</v>
      </c>
      <c r="E418" s="69">
        <f>'Balance de Comprobación'!F77</f>
        <v>0</v>
      </c>
      <c r="F418" s="270" t="str">
        <f t="shared" si="18"/>
        <v/>
      </c>
      <c r="H418" s="272" t="str">
        <f t="shared" si="19"/>
        <v/>
      </c>
    </row>
    <row r="419" spans="1:8" x14ac:dyDescent="0.3">
      <c r="A419" s="107">
        <v>76</v>
      </c>
      <c r="B419" s="107" t="s">
        <v>84</v>
      </c>
      <c r="C419" t="str">
        <f>'Balance de Comprobación'!C78</f>
        <v>Seguro de personas</v>
      </c>
      <c r="D419" s="69">
        <f>'Balance de Comprobación'!D78</f>
        <v>2107982.4699999997</v>
      </c>
      <c r="E419" s="69">
        <f>'Balance de Comprobación'!F78</f>
        <v>1789082.56</v>
      </c>
      <c r="F419" s="270">
        <f t="shared" si="18"/>
        <v>1</v>
      </c>
      <c r="H419" s="272">
        <f t="shared" si="19"/>
        <v>1</v>
      </c>
    </row>
    <row r="420" spans="1:8" x14ac:dyDescent="0.3">
      <c r="A420" s="107">
        <v>77</v>
      </c>
      <c r="C420" s="398" t="s">
        <v>432</v>
      </c>
      <c r="D420" s="305">
        <f>SUM(D421:D427)</f>
        <v>156208.90000000002</v>
      </c>
      <c r="E420" s="478">
        <v>180963.72999999998</v>
      </c>
      <c r="F420" s="289">
        <f t="shared" si="18"/>
        <v>1</v>
      </c>
      <c r="G420" s="72" t="s">
        <v>233</v>
      </c>
      <c r="H420" s="107" t="s">
        <v>233</v>
      </c>
    </row>
    <row r="421" spans="1:8" x14ac:dyDescent="0.3">
      <c r="A421" s="107">
        <v>78</v>
      </c>
      <c r="B421" s="107" t="s">
        <v>84</v>
      </c>
      <c r="C421" t="str">
        <f>'Balance de Comprobación'!C80</f>
        <v>Servicios especiales de mantenimiento y reparación</v>
      </c>
      <c r="D421" s="69">
        <f>'Balance de Comprobación'!D80</f>
        <v>59000</v>
      </c>
      <c r="E421" s="69">
        <v>165</v>
      </c>
      <c r="F421" s="289">
        <f t="shared" si="18"/>
        <v>1</v>
      </c>
      <c r="H421" s="272">
        <f t="shared" si="19"/>
        <v>1</v>
      </c>
    </row>
    <row r="422" spans="1:8" x14ac:dyDescent="0.3">
      <c r="B422" s="107" t="s">
        <v>84</v>
      </c>
      <c r="C422" t="str">
        <f>'Balance de Comprobación'!C81</f>
        <v>Instalaciones eléctricas</v>
      </c>
      <c r="D422" s="69">
        <f>'Balance de Comprobación'!D81</f>
        <v>44065.66</v>
      </c>
      <c r="E422" s="69"/>
      <c r="F422" s="289"/>
      <c r="H422" s="272"/>
    </row>
    <row r="423" spans="1:8" x14ac:dyDescent="0.3">
      <c r="A423" s="107">
        <v>79</v>
      </c>
      <c r="B423" s="107" t="s">
        <v>84</v>
      </c>
      <c r="C423" t="str">
        <f>'Balance de Comprobación'!C82</f>
        <v>Servicios de pintura y derivados con fin de higiene y embellecimiento</v>
      </c>
      <c r="D423" s="69">
        <f>'Balance de Comprobación'!D82</f>
        <v>0</v>
      </c>
      <c r="E423" s="69">
        <v>0</v>
      </c>
      <c r="F423" s="289" t="str">
        <f t="shared" si="18"/>
        <v/>
      </c>
      <c r="H423" s="272" t="str">
        <f t="shared" si="19"/>
        <v/>
      </c>
    </row>
    <row r="424" spans="1:8" x14ac:dyDescent="0.3">
      <c r="A424" s="107">
        <v>80</v>
      </c>
      <c r="B424" s="107" t="s">
        <v>84</v>
      </c>
      <c r="C424" t="str">
        <f>'Balance de Comprobación'!C83</f>
        <v>Reparaciones de obras menores</v>
      </c>
      <c r="D424" s="69">
        <f>'Balance de Comprobación'!D83</f>
        <v>0</v>
      </c>
      <c r="E424" s="69">
        <v>0</v>
      </c>
      <c r="F424" s="289" t="str">
        <f t="shared" si="18"/>
        <v/>
      </c>
      <c r="H424" s="272" t="str">
        <f t="shared" si="19"/>
        <v/>
      </c>
    </row>
    <row r="425" spans="1:8" x14ac:dyDescent="0.3">
      <c r="A425" s="107">
        <v>81</v>
      </c>
      <c r="B425" s="107" t="s">
        <v>84</v>
      </c>
      <c r="C425" t="str">
        <f>'Balance de Comprobación'!C84</f>
        <v>Mant. y rep. De equipo de oficina y muebles</v>
      </c>
      <c r="D425" s="69">
        <f>'Balance de Comprobación'!D84</f>
        <v>0</v>
      </c>
      <c r="E425" s="69">
        <v>71364.350000000006</v>
      </c>
      <c r="F425" s="289">
        <f t="shared" si="18"/>
        <v>1</v>
      </c>
      <c r="H425" s="272">
        <f t="shared" si="19"/>
        <v>1</v>
      </c>
    </row>
    <row r="426" spans="1:8" x14ac:dyDescent="0.3">
      <c r="A426" s="107">
        <v>82</v>
      </c>
      <c r="B426" s="107" t="s">
        <v>84</v>
      </c>
      <c r="C426" t="str">
        <f>'Balance de Comprobación'!C85</f>
        <v>Mant. y rep. De equipo de comunicación</v>
      </c>
      <c r="D426" s="69">
        <f>'Balance de Comprobación'!D85</f>
        <v>0</v>
      </c>
      <c r="E426" s="69">
        <v>108540.33</v>
      </c>
      <c r="F426" s="289">
        <f t="shared" si="18"/>
        <v>1</v>
      </c>
      <c r="H426" s="272">
        <f t="shared" si="19"/>
        <v>1</v>
      </c>
    </row>
    <row r="427" spans="1:8" x14ac:dyDescent="0.3">
      <c r="A427" s="107">
        <v>83</v>
      </c>
      <c r="B427" s="107" t="s">
        <v>84</v>
      </c>
      <c r="C427" t="str">
        <f>'Balance de Comprobación'!C86</f>
        <v>Mant. y rep. De equipo de transporte, tracción y elevación</v>
      </c>
      <c r="D427" s="69">
        <f>'Balance de Comprobación'!D86</f>
        <v>53143.240000000005</v>
      </c>
      <c r="E427" s="69">
        <v>1059.05</v>
      </c>
      <c r="F427" s="289">
        <f t="shared" si="18"/>
        <v>1</v>
      </c>
      <c r="H427" s="272">
        <f t="shared" si="19"/>
        <v>1</v>
      </c>
    </row>
    <row r="428" spans="1:8" x14ac:dyDescent="0.3">
      <c r="A428" s="107">
        <v>84</v>
      </c>
      <c r="C428" s="99" t="s">
        <v>433</v>
      </c>
      <c r="D428" s="305">
        <f>SUM(D429:D446)</f>
        <v>4282109.04</v>
      </c>
      <c r="E428" s="305">
        <f>SUM(E429:E445)</f>
        <v>917199.17</v>
      </c>
      <c r="F428" s="289">
        <f t="shared" si="18"/>
        <v>1</v>
      </c>
      <c r="G428" s="72" t="s">
        <v>233</v>
      </c>
      <c r="H428" s="107" t="s">
        <v>233</v>
      </c>
    </row>
    <row r="429" spans="1:8" x14ac:dyDescent="0.3">
      <c r="A429" s="107">
        <v>85</v>
      </c>
      <c r="B429" s="107" t="s">
        <v>84</v>
      </c>
      <c r="C429" t="str">
        <f>'Balance de Comprobación'!C88</f>
        <v>Comisiones y gastos bancarios</v>
      </c>
      <c r="D429" s="381"/>
      <c r="E429" s="381"/>
      <c r="F429" s="289" t="str">
        <f t="shared" si="18"/>
        <v/>
      </c>
      <c r="H429" s="272" t="str">
        <f t="shared" ref="H429:H444" si="20">IF(SUM(D429:E429)=0,"",1)</f>
        <v/>
      </c>
    </row>
    <row r="430" spans="1:8" x14ac:dyDescent="0.3">
      <c r="A430" s="107">
        <v>86</v>
      </c>
      <c r="B430" s="107" t="s">
        <v>84</v>
      </c>
      <c r="C430" t="str">
        <f>'Balance de Comprobación'!C89</f>
        <v xml:space="preserve">Servicios sanitarios médicos y veterinarios </v>
      </c>
      <c r="D430" s="69" t="str">
        <f>'Balance de Comprobación'!D89</f>
        <v xml:space="preserve"> </v>
      </c>
      <c r="E430" s="69">
        <v>0</v>
      </c>
      <c r="F430" s="289" t="str">
        <f t="shared" si="18"/>
        <v/>
      </c>
      <c r="H430" s="272" t="str">
        <f t="shared" si="20"/>
        <v/>
      </c>
    </row>
    <row r="431" spans="1:8" x14ac:dyDescent="0.3">
      <c r="A431" s="107">
        <v>87</v>
      </c>
      <c r="B431" s="107" t="s">
        <v>84</v>
      </c>
      <c r="C431" t="str">
        <f>'Balance de Comprobación'!C90</f>
        <v>Fumigación</v>
      </c>
      <c r="D431" s="69">
        <f>'Balance de Comprobación'!D90</f>
        <v>45000</v>
      </c>
      <c r="E431" s="69">
        <v>0</v>
      </c>
      <c r="F431" s="289">
        <f t="shared" si="18"/>
        <v>1</v>
      </c>
      <c r="H431" s="272">
        <f t="shared" si="20"/>
        <v>1</v>
      </c>
    </row>
    <row r="432" spans="1:8" x14ac:dyDescent="0.3">
      <c r="A432" s="107">
        <v>88</v>
      </c>
      <c r="B432" s="107" t="s">
        <v>84</v>
      </c>
      <c r="C432" t="str">
        <f>'Balance de Comprobación'!C91</f>
        <v>Lavandería</v>
      </c>
      <c r="D432" s="69">
        <f>'Balance de Comprobación'!D91</f>
        <v>0</v>
      </c>
      <c r="E432" s="69">
        <v>0</v>
      </c>
      <c r="F432" s="289" t="str">
        <f t="shared" si="18"/>
        <v/>
      </c>
      <c r="H432" s="272" t="str">
        <f t="shared" si="20"/>
        <v/>
      </c>
    </row>
    <row r="433" spans="1:16" x14ac:dyDescent="0.3">
      <c r="A433" s="107">
        <v>89</v>
      </c>
      <c r="B433" s="107" t="s">
        <v>84</v>
      </c>
      <c r="C433" t="str">
        <f>'Balance de Comprobación'!C92</f>
        <v>Limpieza e higiene</v>
      </c>
      <c r="D433" s="69">
        <f>'Balance de Comprobación'!D92</f>
        <v>0</v>
      </c>
      <c r="E433" s="69">
        <v>65171</v>
      </c>
      <c r="F433" s="289">
        <f t="shared" si="18"/>
        <v>1</v>
      </c>
      <c r="H433" s="272">
        <f t="shared" si="20"/>
        <v>1</v>
      </c>
    </row>
    <row r="434" spans="1:16" x14ac:dyDescent="0.3">
      <c r="A434" s="107">
        <v>90</v>
      </c>
      <c r="B434" s="107" t="s">
        <v>84</v>
      </c>
      <c r="C434" t="str">
        <f>'Balance de Comprobación'!C93</f>
        <v>Eventos generales</v>
      </c>
      <c r="D434" s="69">
        <f>'Balance de Comprobación'!D93</f>
        <v>0</v>
      </c>
      <c r="E434" s="69">
        <v>0</v>
      </c>
      <c r="F434" s="289" t="str">
        <f t="shared" si="18"/>
        <v/>
      </c>
      <c r="H434" s="272" t="str">
        <f t="shared" si="20"/>
        <v/>
      </c>
    </row>
    <row r="435" spans="1:16" x14ac:dyDescent="0.3">
      <c r="A435" s="107">
        <v>91</v>
      </c>
      <c r="B435" s="107" t="s">
        <v>84</v>
      </c>
      <c r="C435" t="str">
        <f>'Balance de Comprobación'!C94</f>
        <v>Festividades</v>
      </c>
      <c r="D435" s="69">
        <f>'Balance de Comprobación'!D94</f>
        <v>0</v>
      </c>
      <c r="E435" s="69">
        <v>0</v>
      </c>
      <c r="F435" s="289" t="str">
        <f t="shared" si="18"/>
        <v/>
      </c>
      <c r="H435" s="272" t="str">
        <f t="shared" si="20"/>
        <v/>
      </c>
    </row>
    <row r="436" spans="1:16" x14ac:dyDescent="0.3">
      <c r="A436" s="107">
        <v>92</v>
      </c>
      <c r="B436" s="107" t="s">
        <v>84</v>
      </c>
      <c r="C436" t="str">
        <f>'Balance de Comprobación'!C95</f>
        <v>Servicios jurídicos</v>
      </c>
      <c r="D436" s="69">
        <f>'Balance de Comprobación'!D95</f>
        <v>0</v>
      </c>
      <c r="E436" s="69">
        <v>13452</v>
      </c>
      <c r="F436" s="289">
        <f t="shared" si="18"/>
        <v>1</v>
      </c>
      <c r="H436" s="272">
        <f t="shared" si="20"/>
        <v>1</v>
      </c>
    </row>
    <row r="437" spans="1:16" x14ac:dyDescent="0.3">
      <c r="A437" s="107">
        <v>93</v>
      </c>
      <c r="B437" s="107" t="s">
        <v>84</v>
      </c>
      <c r="C437" t="str">
        <f>'Balance de Comprobación'!C96</f>
        <v>Estudios de ingenierias, investigaciones</v>
      </c>
      <c r="D437" s="69">
        <f>'Balance de Comprobación'!D96</f>
        <v>3200000</v>
      </c>
      <c r="E437" s="69">
        <v>800000</v>
      </c>
      <c r="F437" s="289">
        <f t="shared" si="18"/>
        <v>1</v>
      </c>
      <c r="H437" s="272">
        <f t="shared" si="20"/>
        <v>1</v>
      </c>
    </row>
    <row r="438" spans="1:16" x14ac:dyDescent="0.3">
      <c r="A438" s="107">
        <v>94</v>
      </c>
      <c r="B438" s="107" t="s">
        <v>84</v>
      </c>
      <c r="C438" t="str">
        <f>'Balance de Comprobación'!C97</f>
        <v>Servicios de capacitación</v>
      </c>
      <c r="D438" s="69">
        <f>'Balance de Comprobación'!D97</f>
        <v>50000</v>
      </c>
      <c r="E438" s="69">
        <v>38576.17</v>
      </c>
      <c r="F438" s="289">
        <f t="shared" si="18"/>
        <v>1</v>
      </c>
      <c r="H438" s="272">
        <f t="shared" si="20"/>
        <v>1</v>
      </c>
    </row>
    <row r="439" spans="1:16" x14ac:dyDescent="0.3">
      <c r="C439" s="597" t="s">
        <v>587</v>
      </c>
      <c r="D439" s="106"/>
      <c r="E439" s="69"/>
      <c r="F439" s="289"/>
      <c r="G439" s="106">
        <v>344933.33333333337</v>
      </c>
      <c r="H439" s="272"/>
    </row>
    <row r="440" spans="1:16" x14ac:dyDescent="0.3">
      <c r="C440" s="598" t="s">
        <v>588</v>
      </c>
      <c r="D440" s="106"/>
      <c r="E440" s="69"/>
      <c r="F440" s="289"/>
      <c r="G440" s="106">
        <v>374430.82999999996</v>
      </c>
      <c r="H440" s="272"/>
    </row>
    <row r="441" spans="1:16" x14ac:dyDescent="0.3">
      <c r="A441" s="107">
        <v>94</v>
      </c>
      <c r="B441" s="107" t="s">
        <v>84</v>
      </c>
      <c r="C441" t="s">
        <v>213</v>
      </c>
      <c r="D441" s="69"/>
      <c r="E441" s="210"/>
      <c r="F441" s="289" t="str">
        <f t="shared" si="18"/>
        <v/>
      </c>
      <c r="H441" s="272"/>
    </row>
    <row r="442" spans="1:16" x14ac:dyDescent="0.3">
      <c r="A442" s="107">
        <v>95</v>
      </c>
      <c r="B442" s="107" t="s">
        <v>84</v>
      </c>
      <c r="C442" t="str">
        <f>'Balance de Comprobación'!C98</f>
        <v>Otros servicios técnicos profesionales</v>
      </c>
      <c r="D442" s="69">
        <f>'Balance de Comprobación'!D98</f>
        <v>0</v>
      </c>
      <c r="E442" s="69"/>
      <c r="F442" s="289" t="str">
        <f t="shared" si="18"/>
        <v/>
      </c>
      <c r="H442" s="272" t="str">
        <f t="shared" si="20"/>
        <v/>
      </c>
    </row>
    <row r="443" spans="1:16" x14ac:dyDescent="0.3">
      <c r="C443" s="398" t="s">
        <v>423</v>
      </c>
      <c r="D443" s="305"/>
      <c r="E443" s="305"/>
      <c r="F443" s="289" t="str">
        <f t="shared" si="18"/>
        <v/>
      </c>
      <c r="G443" s="72"/>
      <c r="H443" s="272"/>
    </row>
    <row r="444" spans="1:16" s="68" customFormat="1" x14ac:dyDescent="0.3">
      <c r="A444" s="116">
        <v>147</v>
      </c>
      <c r="B444" s="116" t="s">
        <v>84</v>
      </c>
      <c r="C444" s="4"/>
      <c r="D444" s="106"/>
      <c r="E444" s="69"/>
      <c r="F444" s="289" t="str">
        <f t="shared" si="18"/>
        <v/>
      </c>
      <c r="H444" s="272" t="str">
        <f t="shared" si="20"/>
        <v/>
      </c>
      <c r="I444" s="116"/>
      <c r="L444"/>
      <c r="M444"/>
      <c r="N444"/>
      <c r="O444"/>
      <c r="P444"/>
    </row>
    <row r="445" spans="1:16" x14ac:dyDescent="0.3">
      <c r="A445" s="107">
        <v>155</v>
      </c>
      <c r="B445" s="116" t="s">
        <v>84</v>
      </c>
      <c r="C445" t="str">
        <f>'Balance de Comprobación'!C164</f>
        <v>Pérdida por retiro</v>
      </c>
      <c r="D445" s="106">
        <f>'Balance de Comprobación'!D164</f>
        <v>0</v>
      </c>
      <c r="E445" s="69"/>
      <c r="F445" s="289" t="str">
        <f t="shared" si="18"/>
        <v/>
      </c>
      <c r="H445" s="272" t="s">
        <v>233</v>
      </c>
      <c r="I445" s="116"/>
    </row>
    <row r="446" spans="1:16" ht="15" thickBot="1" x14ac:dyDescent="0.35">
      <c r="B446" s="116" t="s">
        <v>84</v>
      </c>
      <c r="C446" t="s">
        <v>583</v>
      </c>
      <c r="D446" s="106">
        <f>+D474</f>
        <v>987109.04</v>
      </c>
      <c r="E446" s="69">
        <f>+E474</f>
        <v>2200620.09</v>
      </c>
      <c r="F446" s="289"/>
      <c r="H446" s="272"/>
      <c r="I446" s="116"/>
    </row>
    <row r="447" spans="1:16" ht="15" thickBot="1" x14ac:dyDescent="0.35">
      <c r="C447" s="104" t="s">
        <v>284</v>
      </c>
      <c r="D447" s="102">
        <f>SUM(D397,D403,D406,D409,D412,D413,D417,D420,D428,D445)</f>
        <v>9328693.6999999993</v>
      </c>
      <c r="E447" s="208">
        <f>SUM(E397,E403,E406,E409,E413,E446,E417,E420,E428)</f>
        <v>6938971.4000000004</v>
      </c>
      <c r="F447" s="478">
        <v>180963.72999999998</v>
      </c>
      <c r="H447" s="272"/>
      <c r="I447" s="116"/>
    </row>
    <row r="448" spans="1:16" x14ac:dyDescent="0.3">
      <c r="D448" s="274" t="e">
        <f>D447-(#REF!)</f>
        <v>#REF!</v>
      </c>
      <c r="E448" s="137" t="e">
        <f>E447-(#REF!)</f>
        <v>#REF!</v>
      </c>
      <c r="F448" s="210"/>
      <c r="H448" s="272" t="s">
        <v>233</v>
      </c>
    </row>
    <row r="449" spans="1:8" x14ac:dyDescent="0.3">
      <c r="B449" s="215" t="s">
        <v>504</v>
      </c>
      <c r="D449" s="274"/>
      <c r="E449" s="137"/>
      <c r="F449" s="210"/>
      <c r="H449" s="272"/>
    </row>
    <row r="450" spans="1:8" x14ac:dyDescent="0.3">
      <c r="C450" s="99" t="s">
        <v>367</v>
      </c>
      <c r="D450" s="274"/>
      <c r="E450" s="137"/>
      <c r="F450" s="210"/>
      <c r="H450" s="272"/>
    </row>
    <row r="451" spans="1:8" x14ac:dyDescent="0.3">
      <c r="A451" s="107">
        <v>85</v>
      </c>
      <c r="B451" s="107" t="s">
        <v>84</v>
      </c>
      <c r="C451" t="str">
        <f>'Balance de Comprobación'!C88</f>
        <v>Comisiones y gastos bancarios</v>
      </c>
      <c r="D451" s="381">
        <f>'Balance de Comprobación'!D88</f>
        <v>1619.88</v>
      </c>
      <c r="E451" s="69">
        <v>5697.1</v>
      </c>
      <c r="F451" s="210"/>
      <c r="H451" s="272"/>
    </row>
    <row r="452" spans="1:8" ht="15" thickBot="1" x14ac:dyDescent="0.35">
      <c r="D452" s="381"/>
      <c r="E452" s="69"/>
      <c r="F452" s="210"/>
      <c r="H452" s="272"/>
    </row>
    <row r="453" spans="1:8" ht="15" thickBot="1" x14ac:dyDescent="0.35">
      <c r="C453" s="104" t="s">
        <v>284</v>
      </c>
      <c r="D453" s="208">
        <f>SUM(D451:D452)</f>
        <v>1619.88</v>
      </c>
      <c r="E453" s="208">
        <f>SUM(E451:E452)</f>
        <v>5697.1</v>
      </c>
      <c r="F453" s="210"/>
      <c r="H453" s="272"/>
    </row>
    <row r="454" spans="1:8" x14ac:dyDescent="0.3">
      <c r="D454" s="274"/>
      <c r="E454" s="137"/>
      <c r="F454" s="210"/>
      <c r="H454" s="272"/>
    </row>
    <row r="455" spans="1:8" ht="15.6" x14ac:dyDescent="0.3">
      <c r="C455" s="164" t="s">
        <v>256</v>
      </c>
      <c r="D455" s="451"/>
      <c r="E455" s="69"/>
      <c r="F455" s="210">
        <f>E428-SUM(E433:E441)</f>
        <v>0</v>
      </c>
    </row>
    <row r="456" spans="1:8" ht="15.6" x14ac:dyDescent="0.3">
      <c r="A456" s="184"/>
      <c r="C456" t="s">
        <v>257</v>
      </c>
      <c r="D456" s="151">
        <v>0</v>
      </c>
      <c r="E456" s="137">
        <v>0</v>
      </c>
      <c r="F456" s="210"/>
      <c r="H456" s="272" t="str">
        <f t="shared" ref="H456:H474" si="21">IF(SUM(D456:E456)=0,"",1)</f>
        <v/>
      </c>
    </row>
    <row r="457" spans="1:8" ht="15.6" x14ac:dyDescent="0.3">
      <c r="A457" s="184"/>
      <c r="C457" t="s">
        <v>374</v>
      </c>
      <c r="D457" s="151">
        <v>0</v>
      </c>
      <c r="E457" s="137">
        <v>0</v>
      </c>
      <c r="F457" s="210"/>
      <c r="H457" s="272" t="str">
        <f t="shared" si="21"/>
        <v/>
      </c>
    </row>
    <row r="458" spans="1:8" ht="15.6" x14ac:dyDescent="0.3">
      <c r="A458" s="184"/>
      <c r="C458" t="s">
        <v>548</v>
      </c>
      <c r="D458" s="151"/>
      <c r="E458" s="137"/>
      <c r="F458" s="210"/>
      <c r="H458" s="272"/>
    </row>
    <row r="459" spans="1:8" x14ac:dyDescent="0.3">
      <c r="C459" t="s">
        <v>258</v>
      </c>
      <c r="D459" s="161">
        <v>0</v>
      </c>
      <c r="E459" s="137">
        <v>225616</v>
      </c>
      <c r="F459" s="210"/>
      <c r="H459" s="272">
        <f t="shared" si="21"/>
        <v>1</v>
      </c>
    </row>
    <row r="460" spans="1:8" x14ac:dyDescent="0.3">
      <c r="C460" t="s">
        <v>347</v>
      </c>
      <c r="D460" s="161">
        <v>0</v>
      </c>
      <c r="E460" s="137">
        <v>0</v>
      </c>
      <c r="F460" s="210"/>
      <c r="H460" s="272" t="str">
        <f t="shared" si="21"/>
        <v/>
      </c>
    </row>
    <row r="461" spans="1:8" x14ac:dyDescent="0.3">
      <c r="C461" t="s">
        <v>259</v>
      </c>
      <c r="D461" s="161">
        <v>0</v>
      </c>
      <c r="E461" s="137">
        <v>0</v>
      </c>
      <c r="F461" s="210"/>
      <c r="H461" s="272" t="str">
        <f t="shared" si="21"/>
        <v/>
      </c>
    </row>
    <row r="462" spans="1:8" x14ac:dyDescent="0.3">
      <c r="C462" t="s">
        <v>327</v>
      </c>
      <c r="D462" s="161">
        <v>0</v>
      </c>
      <c r="E462" s="137">
        <v>0</v>
      </c>
      <c r="F462" s="210"/>
      <c r="H462" s="272" t="str">
        <f t="shared" si="21"/>
        <v/>
      </c>
    </row>
    <row r="463" spans="1:8" x14ac:dyDescent="0.3">
      <c r="C463" t="s">
        <v>348</v>
      </c>
      <c r="D463" s="161">
        <v>0</v>
      </c>
      <c r="E463" s="137">
        <v>0</v>
      </c>
      <c r="F463" s="210"/>
      <c r="H463" s="272" t="str">
        <f t="shared" si="21"/>
        <v/>
      </c>
    </row>
    <row r="464" spans="1:8" x14ac:dyDescent="0.3">
      <c r="C464" t="s">
        <v>349</v>
      </c>
      <c r="D464" s="161">
        <v>0</v>
      </c>
      <c r="E464" s="137">
        <v>0</v>
      </c>
      <c r="F464" s="210"/>
      <c r="H464" s="272" t="str">
        <f t="shared" si="21"/>
        <v/>
      </c>
    </row>
    <row r="465" spans="2:9" x14ac:dyDescent="0.3">
      <c r="C465" t="s">
        <v>328</v>
      </c>
      <c r="D465" s="151">
        <v>0</v>
      </c>
      <c r="E465" s="137">
        <v>138809.94</v>
      </c>
      <c r="F465" s="210"/>
      <c r="H465" s="272">
        <f t="shared" si="21"/>
        <v>1</v>
      </c>
    </row>
    <row r="466" spans="2:9" x14ac:dyDescent="0.3">
      <c r="C466" t="s">
        <v>350</v>
      </c>
      <c r="D466" s="151">
        <v>0</v>
      </c>
      <c r="E466" s="137">
        <v>0</v>
      </c>
      <c r="F466" s="210"/>
      <c r="H466" s="272" t="str">
        <f t="shared" si="21"/>
        <v/>
      </c>
    </row>
    <row r="467" spans="2:9" x14ac:dyDescent="0.3">
      <c r="C467" t="s">
        <v>584</v>
      </c>
      <c r="D467" s="151">
        <v>155760</v>
      </c>
      <c r="E467" s="137"/>
      <c r="F467" s="210"/>
      <c r="H467" s="272"/>
    </row>
    <row r="468" spans="2:9" x14ac:dyDescent="0.3">
      <c r="C468" t="s">
        <v>351</v>
      </c>
      <c r="E468" s="137">
        <v>0</v>
      </c>
      <c r="F468" s="210"/>
      <c r="H468" s="272" t="str">
        <f t="shared" si="21"/>
        <v/>
      </c>
    </row>
    <row r="469" spans="2:9" x14ac:dyDescent="0.3">
      <c r="B469"/>
      <c r="C469" t="s">
        <v>329</v>
      </c>
      <c r="D469" s="151">
        <v>0</v>
      </c>
      <c r="E469" s="137">
        <v>0</v>
      </c>
      <c r="F469" s="210"/>
      <c r="H469" s="272" t="str">
        <f t="shared" si="21"/>
        <v/>
      </c>
    </row>
    <row r="470" spans="2:9" x14ac:dyDescent="0.3">
      <c r="B470"/>
      <c r="C470" t="s">
        <v>260</v>
      </c>
      <c r="D470" s="151">
        <v>0</v>
      </c>
      <c r="E470" s="137">
        <v>0</v>
      </c>
      <c r="F470" s="210"/>
      <c r="H470" s="272" t="str">
        <f t="shared" si="21"/>
        <v/>
      </c>
    </row>
    <row r="471" spans="2:9" x14ac:dyDescent="0.3">
      <c r="B471"/>
      <c r="C471" t="s">
        <v>375</v>
      </c>
      <c r="E471" s="137">
        <v>0</v>
      </c>
      <c r="F471" s="210"/>
      <c r="H471" s="272" t="str">
        <f t="shared" si="21"/>
        <v/>
      </c>
    </row>
    <row r="472" spans="2:9" x14ac:dyDescent="0.3">
      <c r="B472"/>
      <c r="C472" t="s">
        <v>330</v>
      </c>
      <c r="D472" s="151">
        <v>0</v>
      </c>
      <c r="E472" s="137">
        <v>0</v>
      </c>
      <c r="F472" s="210"/>
      <c r="H472" s="272" t="str">
        <f t="shared" si="21"/>
        <v/>
      </c>
    </row>
    <row r="473" spans="2:9" ht="15" thickBot="1" x14ac:dyDescent="0.35">
      <c r="B473"/>
      <c r="C473" t="s">
        <v>376</v>
      </c>
      <c r="D473" s="151">
        <v>831349.04</v>
      </c>
      <c r="E473" s="137">
        <v>1836194.15</v>
      </c>
      <c r="F473" s="210"/>
      <c r="H473" s="272">
        <f>IF(SUM(D473:E473)=0,"",1)</f>
        <v>1</v>
      </c>
    </row>
    <row r="474" spans="2:9" ht="15" thickBot="1" x14ac:dyDescent="0.35">
      <c r="B474"/>
      <c r="C474" s="104" t="s">
        <v>284</v>
      </c>
      <c r="D474" s="208">
        <f>SUM(D456:D473)</f>
        <v>987109.04</v>
      </c>
      <c r="E474" s="209">
        <f>SUBTOTAL(9,E456:E473)</f>
        <v>2200620.09</v>
      </c>
      <c r="F474" s="210">
        <v>-4748466.54</v>
      </c>
      <c r="G474" s="105" t="s">
        <v>355</v>
      </c>
      <c r="H474" s="272">
        <f t="shared" si="21"/>
        <v>1</v>
      </c>
      <c r="I474" s="116"/>
    </row>
    <row r="475" spans="2:9" x14ac:dyDescent="0.3">
      <c r="B475"/>
      <c r="D475" s="106">
        <f>D474-D444</f>
        <v>987109.04</v>
      </c>
      <c r="E475" s="106">
        <f>E474-E444</f>
        <v>2200620.09</v>
      </c>
      <c r="F475" s="134"/>
    </row>
    <row r="476" spans="2:9" x14ac:dyDescent="0.3">
      <c r="B476"/>
      <c r="D476" s="106" t="e">
        <f>D474-#REF!</f>
        <v>#REF!</v>
      </c>
      <c r="E476" s="106" t="e">
        <f>E474-#REF!</f>
        <v>#REF!</v>
      </c>
      <c r="F476" s="134"/>
    </row>
    <row r="477" spans="2:9" x14ac:dyDescent="0.3">
      <c r="B477"/>
      <c r="C477" t="s">
        <v>434</v>
      </c>
      <c r="D477" s="134"/>
      <c r="E477" s="134"/>
      <c r="F477" s="134"/>
    </row>
    <row r="478" spans="2:9" x14ac:dyDescent="0.3">
      <c r="B478" s="613" t="s">
        <v>365</v>
      </c>
      <c r="C478" s="614"/>
      <c r="D478" s="614"/>
      <c r="E478" s="614"/>
      <c r="F478" s="613"/>
    </row>
    <row r="479" spans="2:9" x14ac:dyDescent="0.3">
      <c r="B479"/>
      <c r="E479" s="69"/>
      <c r="F479" s="134"/>
    </row>
    <row r="480" spans="2:9" ht="15.6" x14ac:dyDescent="0.3">
      <c r="B480" s="25" t="s">
        <v>362</v>
      </c>
      <c r="C480" s="398"/>
      <c r="D480" s="69">
        <f>SUM(D397,D403,D406,D409,D413,D417,D420,D428)</f>
        <v>9165693.6999999993</v>
      </c>
      <c r="E480" s="398">
        <v>-377857.63</v>
      </c>
      <c r="F480" s="25"/>
      <c r="G480" s="1"/>
    </row>
    <row r="481" spans="2:7" ht="15.6" x14ac:dyDescent="0.3">
      <c r="B481" s="25" t="s">
        <v>363</v>
      </c>
      <c r="C481" s="4"/>
      <c r="D481" s="4"/>
      <c r="E481" s="619"/>
      <c r="F481" s="618"/>
      <c r="G481" s="1"/>
    </row>
    <row r="482" spans="2:7" ht="15.6" x14ac:dyDescent="0.3">
      <c r="B482" s="187" t="s">
        <v>364</v>
      </c>
      <c r="D482" s="4"/>
      <c r="E482" s="4"/>
      <c r="F482" s="1"/>
      <c r="G482" s="1"/>
    </row>
    <row r="483" spans="2:7" ht="15.6" x14ac:dyDescent="0.3">
      <c r="B483" s="168"/>
      <c r="E483" s="4"/>
      <c r="F483" s="1"/>
      <c r="G483" s="1"/>
    </row>
    <row r="484" spans="2:7" ht="15.6" x14ac:dyDescent="0.3">
      <c r="B484" s="190" t="s">
        <v>362</v>
      </c>
      <c r="E484" s="4"/>
      <c r="F484" s="1"/>
      <c r="G484" s="1"/>
    </row>
    <row r="485" spans="2:7" ht="15.6" x14ac:dyDescent="0.3">
      <c r="B485" s="190" t="s">
        <v>377</v>
      </c>
      <c r="E485" s="4"/>
      <c r="F485" s="1"/>
      <c r="G485" s="1"/>
    </row>
    <row r="486" spans="2:7" ht="15.6" x14ac:dyDescent="0.3">
      <c r="B486" s="187" t="s">
        <v>378</v>
      </c>
      <c r="D486" s="4"/>
      <c r="E486" s="4"/>
      <c r="F486" s="1"/>
      <c r="G486" s="1"/>
    </row>
    <row r="487" spans="2:7" x14ac:dyDescent="0.3">
      <c r="B487" s="1"/>
      <c r="C487" s="452"/>
      <c r="E487" s="4"/>
      <c r="F487" s="1"/>
      <c r="G487" s="1"/>
    </row>
    <row r="488" spans="2:7" x14ac:dyDescent="0.3">
      <c r="B488"/>
      <c r="D488" s="69"/>
      <c r="E488" s="69"/>
      <c r="F488" s="134"/>
    </row>
    <row r="489" spans="2:7" ht="15.6" x14ac:dyDescent="0.3">
      <c r="B489" s="37" t="s">
        <v>362</v>
      </c>
      <c r="C489" s="453"/>
      <c r="D489" s="453"/>
      <c r="E489" s="69"/>
      <c r="F489" s="134"/>
    </row>
    <row r="490" spans="2:7" ht="15.6" x14ac:dyDescent="0.3">
      <c r="B490" s="37" t="s">
        <v>436</v>
      </c>
      <c r="C490" s="447"/>
      <c r="D490" s="447"/>
      <c r="E490" s="69"/>
      <c r="F490" s="134"/>
    </row>
    <row r="491" spans="2:7" ht="15.6" x14ac:dyDescent="0.3">
      <c r="B491" s="187" t="s">
        <v>437</v>
      </c>
      <c r="C491" s="4"/>
      <c r="D491" s="4"/>
      <c r="E491" s="69"/>
      <c r="F491" s="134"/>
    </row>
    <row r="492" spans="2:7" x14ac:dyDescent="0.3">
      <c r="B492"/>
      <c r="D492" s="69"/>
      <c r="E492" s="69"/>
      <c r="F492" s="134"/>
    </row>
    <row r="493" spans="2:7" x14ac:dyDescent="0.3">
      <c r="B493"/>
      <c r="D493" s="69"/>
      <c r="E493" s="69"/>
      <c r="F493" s="134"/>
    </row>
    <row r="494" spans="2:7" x14ac:dyDescent="0.3">
      <c r="B494"/>
      <c r="D494" s="69"/>
      <c r="E494" s="69"/>
      <c r="F494" s="134"/>
    </row>
    <row r="495" spans="2:7" x14ac:dyDescent="0.3">
      <c r="B495"/>
      <c r="C495" t="s">
        <v>441</v>
      </c>
      <c r="D495" s="69" t="s">
        <v>446</v>
      </c>
      <c r="E495" s="69"/>
      <c r="F495" s="134"/>
    </row>
    <row r="496" spans="2:7" x14ac:dyDescent="0.3">
      <c r="B496"/>
      <c r="C496" t="s">
        <v>232</v>
      </c>
      <c r="D496" s="69" t="s">
        <v>448</v>
      </c>
      <c r="E496" s="69"/>
      <c r="F496" s="134"/>
    </row>
    <row r="497" spans="2:6" x14ac:dyDescent="0.3">
      <c r="B497"/>
      <c r="C497" t="s">
        <v>442</v>
      </c>
      <c r="D497" s="69" t="s">
        <v>447</v>
      </c>
      <c r="E497" s="69"/>
      <c r="F497" s="134"/>
    </row>
    <row r="498" spans="2:6" x14ac:dyDescent="0.3">
      <c r="B498"/>
      <c r="C498" t="s">
        <v>234</v>
      </c>
      <c r="D498" t="s">
        <v>440</v>
      </c>
      <c r="E498" s="69"/>
      <c r="F498" s="134"/>
    </row>
    <row r="499" spans="2:6" x14ac:dyDescent="0.3">
      <c r="B499"/>
      <c r="C499" t="s">
        <v>235</v>
      </c>
      <c r="E499" s="69" t="s">
        <v>477</v>
      </c>
      <c r="F499" s="134"/>
    </row>
    <row r="500" spans="2:6" x14ac:dyDescent="0.3">
      <c r="B500"/>
      <c r="C500" t="s">
        <v>246</v>
      </c>
      <c r="D500" s="69"/>
      <c r="E500" s="69" t="s">
        <v>476</v>
      </c>
      <c r="F500" s="134"/>
    </row>
    <row r="501" spans="2:6" x14ac:dyDescent="0.3">
      <c r="B501"/>
      <c r="C501" t="s">
        <v>475</v>
      </c>
      <c r="E501" s="69" t="s">
        <v>474</v>
      </c>
      <c r="F501" s="134"/>
    </row>
    <row r="502" spans="2:6" x14ac:dyDescent="0.3">
      <c r="B502"/>
      <c r="D502" s="69"/>
      <c r="E502" s="69"/>
      <c r="F502" s="134"/>
    </row>
    <row r="503" spans="2:6" x14ac:dyDescent="0.3">
      <c r="B503"/>
      <c r="D503" s="69"/>
      <c r="E503" s="69"/>
      <c r="F503" s="134"/>
    </row>
    <row r="504" spans="2:6" x14ac:dyDescent="0.3">
      <c r="B504"/>
      <c r="D504" s="69"/>
      <c r="E504" s="69"/>
      <c r="F504" s="134"/>
    </row>
    <row r="505" spans="2:6" x14ac:dyDescent="0.3">
      <c r="B505"/>
      <c r="D505" s="69"/>
      <c r="E505" s="69"/>
      <c r="F505" s="134"/>
    </row>
    <row r="506" spans="2:6" x14ac:dyDescent="0.3">
      <c r="B506"/>
      <c r="D506" s="69"/>
      <c r="E506" s="69"/>
      <c r="F506" s="134"/>
    </row>
    <row r="507" spans="2:6" x14ac:dyDescent="0.3">
      <c r="B507"/>
      <c r="D507" s="69"/>
      <c r="E507" s="69"/>
      <c r="F507" s="134"/>
    </row>
    <row r="508" spans="2:6" x14ac:dyDescent="0.3">
      <c r="B508"/>
      <c r="D508" s="69"/>
      <c r="E508" s="69"/>
      <c r="F508" s="134"/>
    </row>
    <row r="509" spans="2:6" x14ac:dyDescent="0.3">
      <c r="B509"/>
      <c r="D509" s="69"/>
      <c r="E509" s="69"/>
      <c r="F509" s="134"/>
    </row>
    <row r="510" spans="2:6" x14ac:dyDescent="0.3">
      <c r="B510"/>
      <c r="D510" s="69"/>
      <c r="E510" s="69"/>
      <c r="F510" s="134"/>
    </row>
    <row r="511" spans="2:6" x14ac:dyDescent="0.3">
      <c r="B511"/>
      <c r="D511" s="69"/>
      <c r="E511" s="69"/>
      <c r="F511" s="134"/>
    </row>
    <row r="512" spans="2:6" x14ac:dyDescent="0.3">
      <c r="B512"/>
      <c r="D512" s="69"/>
      <c r="E512" s="69"/>
      <c r="F512" s="134"/>
    </row>
    <row r="513" spans="2:6" x14ac:dyDescent="0.3">
      <c r="B513"/>
      <c r="D513" s="69"/>
      <c r="E513" s="69"/>
      <c r="F513" s="134"/>
    </row>
    <row r="514" spans="2:6" x14ac:dyDescent="0.3">
      <c r="B514"/>
      <c r="D514" s="69"/>
      <c r="E514" s="69"/>
      <c r="F514" s="134"/>
    </row>
    <row r="515" spans="2:6" x14ac:dyDescent="0.3">
      <c r="B515"/>
      <c r="D515" s="69"/>
      <c r="E515" s="69"/>
      <c r="F515" s="134"/>
    </row>
    <row r="516" spans="2:6" x14ac:dyDescent="0.3">
      <c r="B516"/>
      <c r="D516" s="69"/>
      <c r="E516" s="69"/>
      <c r="F516" s="134"/>
    </row>
    <row r="517" spans="2:6" x14ac:dyDescent="0.3">
      <c r="B517"/>
      <c r="D517" s="69"/>
      <c r="E517" s="69"/>
      <c r="F517" s="134"/>
    </row>
    <row r="518" spans="2:6" x14ac:dyDescent="0.3">
      <c r="B518"/>
      <c r="D518" s="69"/>
      <c r="E518" s="69"/>
      <c r="F518" s="134"/>
    </row>
    <row r="519" spans="2:6" x14ac:dyDescent="0.3">
      <c r="B519"/>
      <c r="D519" s="69"/>
      <c r="E519" s="69"/>
      <c r="F519" s="134"/>
    </row>
    <row r="520" spans="2:6" x14ac:dyDescent="0.3">
      <c r="B520"/>
      <c r="D520" s="69"/>
      <c r="E520" s="69"/>
      <c r="F520" s="134"/>
    </row>
    <row r="521" spans="2:6" x14ac:dyDescent="0.3">
      <c r="B521"/>
      <c r="D521" s="69"/>
      <c r="E521" s="69"/>
      <c r="F521" s="134"/>
    </row>
    <row r="522" spans="2:6" x14ac:dyDescent="0.3">
      <c r="B522"/>
      <c r="D522" s="69"/>
      <c r="E522" s="69"/>
      <c r="F522" s="134"/>
    </row>
    <row r="523" spans="2:6" x14ac:dyDescent="0.3">
      <c r="B523"/>
      <c r="D523" s="69"/>
      <c r="E523" s="69"/>
      <c r="F523" s="134"/>
    </row>
    <row r="524" spans="2:6" x14ac:dyDescent="0.3">
      <c r="B524"/>
      <c r="D524" s="69"/>
      <c r="E524" s="69"/>
      <c r="F524" s="134"/>
    </row>
    <row r="525" spans="2:6" x14ac:dyDescent="0.3">
      <c r="B525"/>
      <c r="D525" s="69"/>
      <c r="E525" s="69"/>
      <c r="F525" s="134"/>
    </row>
    <row r="526" spans="2:6" x14ac:dyDescent="0.3">
      <c r="B526"/>
      <c r="D526" s="69"/>
      <c r="E526" s="69"/>
      <c r="F526" s="134"/>
    </row>
    <row r="527" spans="2:6" x14ac:dyDescent="0.3">
      <c r="B527"/>
      <c r="D527" s="69"/>
      <c r="E527" s="69"/>
      <c r="F527" s="134"/>
    </row>
    <row r="528" spans="2:6" x14ac:dyDescent="0.3">
      <c r="B528"/>
      <c r="D528" s="69"/>
      <c r="E528" s="69"/>
      <c r="F528" s="134"/>
    </row>
    <row r="529" spans="2:6" x14ac:dyDescent="0.3">
      <c r="B529"/>
      <c r="D529" s="69"/>
      <c r="E529" s="69"/>
      <c r="F529" s="134"/>
    </row>
    <row r="530" spans="2:6" x14ac:dyDescent="0.3">
      <c r="B530"/>
      <c r="D530" s="69"/>
      <c r="E530" s="69"/>
      <c r="F530" s="134"/>
    </row>
    <row r="531" spans="2:6" x14ac:dyDescent="0.3">
      <c r="B531"/>
      <c r="D531" s="69"/>
      <c r="E531" s="69"/>
      <c r="F531" s="134"/>
    </row>
    <row r="532" spans="2:6" x14ac:dyDescent="0.3">
      <c r="B532"/>
      <c r="D532" s="69"/>
      <c r="E532" s="69"/>
      <c r="F532" s="134"/>
    </row>
    <row r="533" spans="2:6" x14ac:dyDescent="0.3">
      <c r="B533"/>
      <c r="D533" s="69"/>
      <c r="E533" s="69"/>
      <c r="F533" s="134"/>
    </row>
    <row r="534" spans="2:6" x14ac:dyDescent="0.3">
      <c r="B534"/>
      <c r="D534" s="69"/>
      <c r="E534" s="69"/>
      <c r="F534" s="134"/>
    </row>
    <row r="535" spans="2:6" x14ac:dyDescent="0.3">
      <c r="B535"/>
      <c r="D535" s="69"/>
      <c r="E535" s="69"/>
      <c r="F535" s="134"/>
    </row>
    <row r="536" spans="2:6" x14ac:dyDescent="0.3">
      <c r="B536"/>
      <c r="D536" s="69"/>
      <c r="E536" s="69"/>
      <c r="F536" s="134"/>
    </row>
    <row r="537" spans="2:6" x14ac:dyDescent="0.3">
      <c r="B537"/>
      <c r="D537" s="69"/>
      <c r="E537" s="69"/>
      <c r="F537" s="134"/>
    </row>
    <row r="538" spans="2:6" x14ac:dyDescent="0.3">
      <c r="B538"/>
      <c r="D538" s="69"/>
      <c r="E538" s="69"/>
      <c r="F538" s="134"/>
    </row>
    <row r="539" spans="2:6" x14ac:dyDescent="0.3">
      <c r="B539"/>
      <c r="D539" s="69"/>
      <c r="E539" s="69"/>
      <c r="F539" s="134"/>
    </row>
    <row r="540" spans="2:6" x14ac:dyDescent="0.3">
      <c r="B540"/>
      <c r="D540" s="69"/>
      <c r="E540" s="69"/>
      <c r="F540" s="134"/>
    </row>
    <row r="541" spans="2:6" x14ac:dyDescent="0.3">
      <c r="B541"/>
      <c r="D541" s="69"/>
      <c r="E541" s="69"/>
      <c r="F541" s="134"/>
    </row>
    <row r="542" spans="2:6" x14ac:dyDescent="0.3">
      <c r="B542"/>
      <c r="D542" s="69"/>
      <c r="E542" s="69"/>
      <c r="F542" s="134"/>
    </row>
    <row r="543" spans="2:6" x14ac:dyDescent="0.3">
      <c r="B543"/>
      <c r="D543" s="69"/>
      <c r="E543" s="69"/>
      <c r="F543" s="134"/>
    </row>
    <row r="544" spans="2:6" x14ac:dyDescent="0.3">
      <c r="B544"/>
      <c r="D544" s="69"/>
      <c r="E544" s="69"/>
      <c r="F544" s="134"/>
    </row>
    <row r="545" spans="2:6" x14ac:dyDescent="0.3">
      <c r="B545"/>
      <c r="D545" s="69"/>
      <c r="E545" s="69"/>
      <c r="F545" s="134"/>
    </row>
    <row r="546" spans="2:6" x14ac:dyDescent="0.3">
      <c r="B546"/>
      <c r="D546" s="69"/>
      <c r="E546" s="69"/>
      <c r="F546" s="134"/>
    </row>
    <row r="547" spans="2:6" x14ac:dyDescent="0.3">
      <c r="B547"/>
      <c r="D547" s="69"/>
      <c r="E547" s="69"/>
      <c r="F547" s="134"/>
    </row>
    <row r="548" spans="2:6" x14ac:dyDescent="0.3">
      <c r="B548"/>
      <c r="D548" s="69"/>
      <c r="E548" s="69"/>
      <c r="F548" s="134"/>
    </row>
    <row r="549" spans="2:6" x14ac:dyDescent="0.3">
      <c r="B549"/>
      <c r="D549" s="69"/>
      <c r="E549" s="69"/>
      <c r="F549" s="134"/>
    </row>
    <row r="550" spans="2:6" x14ac:dyDescent="0.3">
      <c r="B550"/>
      <c r="D550" s="69"/>
      <c r="E550" s="69"/>
      <c r="F550" s="134"/>
    </row>
    <row r="551" spans="2:6" x14ac:dyDescent="0.3">
      <c r="B551"/>
      <c r="D551" s="69"/>
      <c r="E551" s="69"/>
      <c r="F551" s="134"/>
    </row>
    <row r="552" spans="2:6" x14ac:dyDescent="0.3">
      <c r="B552"/>
      <c r="D552" s="69"/>
      <c r="E552" s="69"/>
      <c r="F552" s="134"/>
    </row>
    <row r="553" spans="2:6" x14ac:dyDescent="0.3">
      <c r="B553"/>
      <c r="D553" s="69"/>
      <c r="E553" s="69"/>
      <c r="F553" s="134"/>
    </row>
    <row r="554" spans="2:6" x14ac:dyDescent="0.3">
      <c r="B554"/>
      <c r="D554" s="69"/>
      <c r="E554" s="69"/>
      <c r="F554" s="134"/>
    </row>
    <row r="555" spans="2:6" x14ac:dyDescent="0.3">
      <c r="B555"/>
      <c r="D555" s="69"/>
      <c r="E555" s="69"/>
      <c r="F555" s="134"/>
    </row>
    <row r="556" spans="2:6" x14ac:dyDescent="0.3">
      <c r="B556"/>
      <c r="D556" s="69"/>
      <c r="E556" s="69"/>
      <c r="F556" s="134"/>
    </row>
    <row r="557" spans="2:6" x14ac:dyDescent="0.3">
      <c r="B557"/>
      <c r="D557" s="69"/>
      <c r="E557" s="69"/>
      <c r="F557" s="134"/>
    </row>
    <row r="558" spans="2:6" x14ac:dyDescent="0.3">
      <c r="B558"/>
      <c r="D558" s="69"/>
      <c r="E558" s="69"/>
      <c r="F558" s="134"/>
    </row>
    <row r="559" spans="2:6" x14ac:dyDescent="0.3">
      <c r="B559"/>
      <c r="D559" s="69"/>
      <c r="E559" s="69"/>
      <c r="F559" s="134"/>
    </row>
    <row r="560" spans="2:6" x14ac:dyDescent="0.3">
      <c r="B560"/>
      <c r="D560" s="69"/>
      <c r="E560" s="69"/>
      <c r="F560" s="134"/>
    </row>
    <row r="561" spans="2:6" x14ac:dyDescent="0.3">
      <c r="B561"/>
      <c r="D561" s="69"/>
      <c r="E561" s="69"/>
      <c r="F561" s="134"/>
    </row>
    <row r="562" spans="2:6" x14ac:dyDescent="0.3">
      <c r="B562"/>
      <c r="D562" s="69"/>
      <c r="E562" s="69"/>
      <c r="F562" s="134"/>
    </row>
    <row r="563" spans="2:6" x14ac:dyDescent="0.3">
      <c r="B563"/>
      <c r="D563" s="69"/>
      <c r="E563" s="69"/>
      <c r="F563" s="134"/>
    </row>
    <row r="564" spans="2:6" x14ac:dyDescent="0.3">
      <c r="B564"/>
      <c r="D564" s="69"/>
      <c r="E564" s="69"/>
      <c r="F564" s="134"/>
    </row>
    <row r="565" spans="2:6" x14ac:dyDescent="0.3">
      <c r="B565"/>
      <c r="D565" s="69"/>
      <c r="E565" s="69"/>
      <c r="F565" s="134"/>
    </row>
    <row r="566" spans="2:6" x14ac:dyDescent="0.3">
      <c r="B566"/>
      <c r="D566" s="69"/>
      <c r="E566" s="69"/>
      <c r="F566" s="134"/>
    </row>
    <row r="567" spans="2:6" x14ac:dyDescent="0.3">
      <c r="B567"/>
      <c r="D567" s="69"/>
      <c r="E567" s="69"/>
      <c r="F567" s="134"/>
    </row>
    <row r="568" spans="2:6" x14ac:dyDescent="0.3">
      <c r="B568"/>
      <c r="D568" s="69"/>
      <c r="E568" s="69"/>
      <c r="F568" s="134"/>
    </row>
    <row r="569" spans="2:6" x14ac:dyDescent="0.3">
      <c r="B569"/>
      <c r="D569" s="69"/>
      <c r="E569" s="69"/>
      <c r="F569" s="134"/>
    </row>
    <row r="570" spans="2:6" x14ac:dyDescent="0.3">
      <c r="B570"/>
      <c r="D570" s="69"/>
      <c r="E570" s="69"/>
      <c r="F570" s="134"/>
    </row>
    <row r="571" spans="2:6" x14ac:dyDescent="0.3">
      <c r="B571"/>
      <c r="D571" s="69"/>
      <c r="E571" s="69"/>
      <c r="F571" s="134"/>
    </row>
    <row r="572" spans="2:6" x14ac:dyDescent="0.3">
      <c r="B572"/>
      <c r="D572" s="69"/>
      <c r="E572" s="69"/>
      <c r="F572" s="134"/>
    </row>
    <row r="573" spans="2:6" x14ac:dyDescent="0.3">
      <c r="B573"/>
      <c r="D573" s="69"/>
      <c r="E573" s="69"/>
      <c r="F573" s="134"/>
    </row>
    <row r="574" spans="2:6" x14ac:dyDescent="0.3">
      <c r="B574"/>
      <c r="D574" s="69"/>
      <c r="E574" s="69"/>
      <c r="F574" s="134"/>
    </row>
    <row r="575" spans="2:6" x14ac:dyDescent="0.3">
      <c r="B575"/>
      <c r="D575" s="69"/>
      <c r="E575" s="69"/>
      <c r="F575" s="134"/>
    </row>
    <row r="576" spans="2:6" x14ac:dyDescent="0.3">
      <c r="B576"/>
      <c r="D576" s="69"/>
      <c r="E576" s="69"/>
      <c r="F576" s="134"/>
    </row>
    <row r="577" spans="2:6" x14ac:dyDescent="0.3">
      <c r="B577"/>
      <c r="D577" s="69"/>
      <c r="E577" s="69"/>
      <c r="F577" s="134"/>
    </row>
    <row r="578" spans="2:6" x14ac:dyDescent="0.3">
      <c r="B578"/>
      <c r="D578" s="69"/>
      <c r="E578" s="69"/>
      <c r="F578" s="134"/>
    </row>
    <row r="579" spans="2:6" x14ac:dyDescent="0.3">
      <c r="B579"/>
      <c r="D579" s="69"/>
      <c r="E579" s="69"/>
      <c r="F579" s="134"/>
    </row>
    <row r="580" spans="2:6" x14ac:dyDescent="0.3">
      <c r="B580"/>
      <c r="D580" s="69"/>
      <c r="E580" s="69"/>
      <c r="F580" s="134"/>
    </row>
    <row r="581" spans="2:6" x14ac:dyDescent="0.3">
      <c r="B581"/>
      <c r="D581" s="69"/>
      <c r="E581" s="69"/>
      <c r="F581" s="134"/>
    </row>
    <row r="582" spans="2:6" x14ac:dyDescent="0.3">
      <c r="B582"/>
      <c r="D582" s="69"/>
      <c r="E582" s="69"/>
      <c r="F582" s="134"/>
    </row>
    <row r="583" spans="2:6" x14ac:dyDescent="0.3">
      <c r="B583"/>
      <c r="D583" s="69"/>
      <c r="E583" s="69"/>
      <c r="F583" s="134"/>
    </row>
    <row r="584" spans="2:6" x14ac:dyDescent="0.3">
      <c r="B584"/>
      <c r="D584" s="69"/>
      <c r="E584" s="69"/>
      <c r="F584" s="134"/>
    </row>
    <row r="585" spans="2:6" x14ac:dyDescent="0.3">
      <c r="B585"/>
      <c r="D585" s="69"/>
      <c r="E585" s="69"/>
      <c r="F585" s="134"/>
    </row>
    <row r="586" spans="2:6" x14ac:dyDescent="0.3">
      <c r="B586"/>
      <c r="D586" s="69"/>
      <c r="E586" s="69"/>
      <c r="F586" s="134"/>
    </row>
    <row r="587" spans="2:6" x14ac:dyDescent="0.3">
      <c r="B587"/>
      <c r="D587" s="69"/>
      <c r="E587" s="69"/>
      <c r="F587" s="134"/>
    </row>
    <row r="588" spans="2:6" x14ac:dyDescent="0.3">
      <c r="B588"/>
      <c r="D588" s="69"/>
      <c r="E588" s="69"/>
      <c r="F588" s="134"/>
    </row>
    <row r="589" spans="2:6" x14ac:dyDescent="0.3">
      <c r="B589"/>
      <c r="D589" s="69"/>
      <c r="E589" s="69"/>
      <c r="F589" s="134"/>
    </row>
    <row r="590" spans="2:6" x14ac:dyDescent="0.3">
      <c r="B590"/>
      <c r="D590" s="69"/>
      <c r="E590" s="69"/>
      <c r="F590" s="134"/>
    </row>
    <row r="591" spans="2:6" x14ac:dyDescent="0.3">
      <c r="B591"/>
      <c r="D591" s="69"/>
      <c r="E591" s="69"/>
      <c r="F591" s="134"/>
    </row>
    <row r="592" spans="2:6" x14ac:dyDescent="0.3">
      <c r="B592"/>
      <c r="D592" s="69"/>
      <c r="E592" s="69"/>
      <c r="F592" s="134"/>
    </row>
    <row r="593" spans="2:6" x14ac:dyDescent="0.3">
      <c r="B593"/>
      <c r="D593" s="69"/>
      <c r="E593" s="69"/>
      <c r="F593" s="134"/>
    </row>
    <row r="594" spans="2:6" x14ac:dyDescent="0.3">
      <c r="B594"/>
      <c r="D594" s="69"/>
      <c r="E594" s="69"/>
      <c r="F594" s="134"/>
    </row>
    <row r="595" spans="2:6" x14ac:dyDescent="0.3">
      <c r="B595"/>
      <c r="D595" s="69"/>
      <c r="E595" s="69"/>
      <c r="F595" s="134"/>
    </row>
    <row r="596" spans="2:6" x14ac:dyDescent="0.3">
      <c r="B596"/>
      <c r="D596" s="69"/>
      <c r="E596" s="69"/>
      <c r="F596" s="134"/>
    </row>
    <row r="597" spans="2:6" x14ac:dyDescent="0.3">
      <c r="B597"/>
      <c r="D597" s="69"/>
      <c r="E597" s="69"/>
      <c r="F597" s="134"/>
    </row>
    <row r="598" spans="2:6" x14ac:dyDescent="0.3">
      <c r="B598"/>
      <c r="D598" s="69"/>
      <c r="E598" s="69"/>
      <c r="F598" s="134"/>
    </row>
    <row r="599" spans="2:6" x14ac:dyDescent="0.3">
      <c r="B599"/>
      <c r="D599" s="69"/>
      <c r="E599" s="69"/>
      <c r="F599" s="134"/>
    </row>
    <row r="600" spans="2:6" x14ac:dyDescent="0.3">
      <c r="B600"/>
      <c r="D600" s="69"/>
      <c r="E600" s="69"/>
      <c r="F600" s="134"/>
    </row>
    <row r="601" spans="2:6" x14ac:dyDescent="0.3">
      <c r="B601"/>
      <c r="D601" s="69"/>
      <c r="E601" s="69"/>
      <c r="F601" s="134"/>
    </row>
    <row r="602" spans="2:6" x14ac:dyDescent="0.3">
      <c r="B602"/>
      <c r="D602" s="69"/>
      <c r="E602" s="69"/>
      <c r="F602" s="134"/>
    </row>
  </sheetData>
  <autoFilter ref="A396:H451" xr:uid="{00000000-0009-0000-0000-000000000000}"/>
  <mergeCells count="29">
    <mergeCell ref="Y159:Y160"/>
    <mergeCell ref="V73:W73"/>
    <mergeCell ref="B189:C189"/>
    <mergeCell ref="I159:I160"/>
    <mergeCell ref="E481:F481"/>
    <mergeCell ref="O104:O105"/>
    <mergeCell ref="F158:G158"/>
    <mergeCell ref="I158:J158"/>
    <mergeCell ref="O158:S158"/>
    <mergeCell ref="I104:M104"/>
    <mergeCell ref="P104:P105"/>
    <mergeCell ref="S104:S105"/>
    <mergeCell ref="J222:J223"/>
    <mergeCell ref="L159:M160"/>
    <mergeCell ref="F90:G90"/>
    <mergeCell ref="X159:X160"/>
    <mergeCell ref="V158:V160"/>
    <mergeCell ref="I99:O101"/>
    <mergeCell ref="B478:F478"/>
    <mergeCell ref="E101:F101"/>
    <mergeCell ref="A395:B395"/>
    <mergeCell ref="B324:C324"/>
    <mergeCell ref="B331:C331"/>
    <mergeCell ref="B131:C131"/>
    <mergeCell ref="B157:C157"/>
    <mergeCell ref="E102:F102"/>
    <mergeCell ref="B106:B107"/>
    <mergeCell ref="B182:C182"/>
    <mergeCell ref="A390:B390"/>
  </mergeCells>
  <phoneticPr fontId="23" type="noConversion"/>
  <pageMargins left="0.7" right="0.7" top="0.75" bottom="0.75" header="0.3" footer="0.3"/>
  <pageSetup orientation="portrait" r:id="rId1"/>
  <ignoredErrors>
    <ignoredError sqref="B335:B336 B339:B341 B344:B348 B350:B358 B364:B366 B378 B398:B402 B404:B405 B407:B408 B410:B411 B414:B416 B418:B419 B423:B427 B442 B444 D118 K118 D184 N118 B437:B438 B421 B360:B362 B368:B372 B374:B376 B429:B436" numberStoredAsText="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03"/>
  <sheetViews>
    <sheetView zoomScale="69" zoomScaleNormal="80" workbookViewId="0">
      <pane xSplit="6" ySplit="11" topLeftCell="G12" activePane="bottomRight" state="frozen"/>
      <selection pane="topRight" activeCell="G1" sqref="G1"/>
      <selection pane="bottomLeft" activeCell="A12" sqref="A12"/>
      <selection pane="bottomRight" activeCell="F33" sqref="F33"/>
    </sheetView>
  </sheetViews>
  <sheetFormatPr baseColWidth="10" defaultColWidth="10.88671875" defaultRowHeight="14.4" x14ac:dyDescent="0.3"/>
  <cols>
    <col min="1" max="1" width="7.6640625" style="508" bestFit="1" customWidth="1"/>
    <col min="2" max="2" width="10.109375" style="501" customWidth="1"/>
    <col min="3" max="3" width="46.109375" style="6" customWidth="1"/>
    <col min="4" max="4" width="19.6640625" style="489" customWidth="1"/>
    <col min="5" max="5" width="2.6640625" style="490" customWidth="1"/>
    <col min="6" max="6" width="38.88671875" style="491" customWidth="1"/>
    <col min="7" max="7" width="4.44140625" style="281" customWidth="1"/>
    <col min="8" max="8" width="23.44140625" style="380" customWidth="1"/>
    <col min="9" max="9" width="21.88671875" style="171" customWidth="1"/>
    <col min="10" max="10" width="44.44140625" style="171" customWidth="1"/>
    <col min="11" max="16384" width="10.88671875" style="171"/>
  </cols>
  <sheetData>
    <row r="1" spans="1:9" ht="14.4" customHeight="1" x14ac:dyDescent="0.3">
      <c r="A1" s="582" t="s">
        <v>578</v>
      </c>
      <c r="G1" s="581">
        <v>2</v>
      </c>
    </row>
    <row r="2" spans="1:9" x14ac:dyDescent="0.3">
      <c r="C2" s="8" t="s">
        <v>19</v>
      </c>
      <c r="D2" s="489" t="e">
        <f>SUM(D13:D164)</f>
        <v>#REF!</v>
      </c>
      <c r="E2" s="489"/>
      <c r="F2" s="489">
        <f>SUM(F13:F164)</f>
        <v>2.3865140974521637E-9</v>
      </c>
    </row>
    <row r="3" spans="1:9" ht="4.5" customHeight="1" x14ac:dyDescent="0.3">
      <c r="C3" s="8"/>
      <c r="D3" s="492"/>
      <c r="F3" s="198"/>
    </row>
    <row r="4" spans="1:9" ht="6" customHeight="1" x14ac:dyDescent="0.3">
      <c r="F4" s="9"/>
    </row>
    <row r="5" spans="1:9" ht="15.6" x14ac:dyDescent="0.3">
      <c r="B5" s="654" t="s">
        <v>20</v>
      </c>
      <c r="C5" s="654"/>
      <c r="D5" s="654"/>
      <c r="E5" s="654"/>
      <c r="F5" s="654"/>
    </row>
    <row r="6" spans="1:9" ht="15.6" x14ac:dyDescent="0.3">
      <c r="B6" s="10"/>
      <c r="C6" s="654" t="s">
        <v>22</v>
      </c>
      <c r="D6" s="654"/>
      <c r="E6" s="654"/>
      <c r="F6" s="654"/>
    </row>
    <row r="7" spans="1:9" ht="15.6" x14ac:dyDescent="0.3">
      <c r="B7" s="10"/>
      <c r="C7" s="655" t="str">
        <f>Datos!D7</f>
        <v>Al 30 de Junio del 2025 y 2024</v>
      </c>
      <c r="D7" s="655"/>
      <c r="E7" s="655"/>
      <c r="F7" s="655"/>
    </row>
    <row r="8" spans="1:9" ht="15.6" x14ac:dyDescent="0.3">
      <c r="B8" s="10"/>
      <c r="C8" s="654" t="s">
        <v>0</v>
      </c>
      <c r="D8" s="654"/>
      <c r="E8" s="654"/>
      <c r="F8" s="654"/>
    </row>
    <row r="9" spans="1:9" x14ac:dyDescent="0.3">
      <c r="D9" s="493"/>
      <c r="F9" s="432"/>
    </row>
    <row r="10" spans="1:9" x14ac:dyDescent="0.3">
      <c r="C10" s="11"/>
      <c r="G10" s="288"/>
    </row>
    <row r="11" spans="1:9" x14ac:dyDescent="0.3">
      <c r="A11" s="11" t="s">
        <v>23</v>
      </c>
      <c r="C11" s="12" t="s">
        <v>24</v>
      </c>
      <c r="D11" s="494">
        <f>Datos!$D$24</f>
        <v>2025</v>
      </c>
      <c r="F11" s="494">
        <f>Datos!$E$24</f>
        <v>2024</v>
      </c>
      <c r="G11" s="288"/>
      <c r="I11" s="287" t="s">
        <v>450</v>
      </c>
    </row>
    <row r="12" spans="1:9" x14ac:dyDescent="0.3">
      <c r="A12" s="508" t="s">
        <v>25</v>
      </c>
      <c r="C12" s="13" t="s">
        <v>26</v>
      </c>
      <c r="D12" s="495"/>
      <c r="F12" s="496"/>
      <c r="G12" s="281" t="s">
        <v>233</v>
      </c>
    </row>
    <row r="13" spans="1:9" x14ac:dyDescent="0.3">
      <c r="A13" s="14" t="s">
        <v>27</v>
      </c>
      <c r="B13" s="502" t="s">
        <v>27</v>
      </c>
      <c r="C13" s="7" t="s">
        <v>28</v>
      </c>
      <c r="D13" s="492">
        <f>Datos!D60</f>
        <v>0</v>
      </c>
      <c r="E13" s="211"/>
      <c r="F13" s="283">
        <v>0</v>
      </c>
      <c r="G13" s="284" t="str">
        <f t="shared" ref="G13:G21" si="0">IF(SUM(D13:F13)=0,"",1)</f>
        <v/>
      </c>
      <c r="I13" s="286" t="s">
        <v>449</v>
      </c>
    </row>
    <row r="14" spans="1:9" x14ac:dyDescent="0.3">
      <c r="A14" s="14" t="s">
        <v>27</v>
      </c>
      <c r="B14" s="502" t="s">
        <v>27</v>
      </c>
      <c r="C14" s="7" t="s">
        <v>29</v>
      </c>
      <c r="D14" s="492">
        <f>Datos!D68</f>
        <v>46232735.780000001</v>
      </c>
      <c r="E14" s="211"/>
      <c r="F14" s="283">
        <v>50054682.609999999</v>
      </c>
      <c r="G14" s="284">
        <f t="shared" si="0"/>
        <v>1</v>
      </c>
      <c r="H14" s="380">
        <f>+D14-F14</f>
        <v>-3821946.8299999982</v>
      </c>
      <c r="I14" s="171" t="s">
        <v>514</v>
      </c>
    </row>
    <row r="15" spans="1:9" x14ac:dyDescent="0.3">
      <c r="A15" s="14" t="s">
        <v>30</v>
      </c>
      <c r="B15" s="502"/>
      <c r="C15" s="7" t="s">
        <v>31</v>
      </c>
      <c r="E15" s="211" t="str">
        <f t="shared" ref="E15:E21" si="1">IF(SUM(A15:D15)=0,"",1)</f>
        <v/>
      </c>
      <c r="F15" s="283"/>
      <c r="G15" s="284" t="str">
        <f t="shared" si="0"/>
        <v/>
      </c>
      <c r="I15" s="171" t="s">
        <v>462</v>
      </c>
    </row>
    <row r="16" spans="1:9" x14ac:dyDescent="0.3">
      <c r="A16" s="14" t="s">
        <v>32</v>
      </c>
      <c r="B16" s="502"/>
      <c r="C16" s="7" t="s">
        <v>33</v>
      </c>
      <c r="D16" s="492" t="e">
        <f>#REF!</f>
        <v>#REF!</v>
      </c>
      <c r="E16" s="211"/>
      <c r="F16" s="283">
        <v>223751.27</v>
      </c>
      <c r="G16" s="284" t="e">
        <f t="shared" si="0"/>
        <v>#REF!</v>
      </c>
      <c r="H16" s="380" t="e">
        <f t="shared" ref="H16:H19" si="2">+D16-F16</f>
        <v>#REF!</v>
      </c>
      <c r="I16" s="306" t="s">
        <v>515</v>
      </c>
    </row>
    <row r="17" spans="1:14" x14ac:dyDescent="0.3">
      <c r="A17" s="14" t="s">
        <v>34</v>
      </c>
      <c r="B17" s="502"/>
      <c r="C17" s="7" t="s">
        <v>35</v>
      </c>
      <c r="D17" s="492">
        <f>Datos!G212+Datos!G234</f>
        <v>660164.16333333333</v>
      </c>
      <c r="E17" s="211"/>
      <c r="F17" s="283">
        <v>100000</v>
      </c>
      <c r="G17" s="284">
        <f t="shared" si="0"/>
        <v>1</v>
      </c>
      <c r="H17" s="380">
        <f t="shared" si="2"/>
        <v>560164.16333333333</v>
      </c>
      <c r="I17" s="306"/>
    </row>
    <row r="18" spans="1:14" x14ac:dyDescent="0.3">
      <c r="A18" s="14" t="s">
        <v>36</v>
      </c>
      <c r="B18" s="502"/>
      <c r="C18" s="7" t="s">
        <v>37</v>
      </c>
      <c r="D18" s="492" t="e">
        <f>#REF!</f>
        <v>#REF!</v>
      </c>
      <c r="E18" s="211"/>
      <c r="F18" s="283">
        <v>31249664.650000002</v>
      </c>
      <c r="G18" s="284" t="e">
        <f t="shared" si="0"/>
        <v>#REF!</v>
      </c>
      <c r="H18" s="380" t="e">
        <f t="shared" si="2"/>
        <v>#REF!</v>
      </c>
    </row>
    <row r="19" spans="1:14" x14ac:dyDescent="0.3">
      <c r="A19" s="14" t="s">
        <v>36</v>
      </c>
      <c r="B19" s="502"/>
      <c r="C19" s="7" t="s">
        <v>38</v>
      </c>
      <c r="D19" s="492" t="e">
        <f>#REF!</f>
        <v>#REF!</v>
      </c>
      <c r="E19" s="211"/>
      <c r="F19" s="283">
        <v>-21407271.341000002</v>
      </c>
      <c r="G19" s="284" t="e">
        <f t="shared" si="0"/>
        <v>#REF!</v>
      </c>
      <c r="H19" s="380" t="e">
        <f t="shared" si="2"/>
        <v>#REF!</v>
      </c>
      <c r="J19" s="171" t="s">
        <v>445</v>
      </c>
    </row>
    <row r="20" spans="1:14" x14ac:dyDescent="0.3">
      <c r="A20" s="14" t="s">
        <v>39</v>
      </c>
      <c r="B20" s="502"/>
      <c r="C20" s="7" t="s">
        <v>40</v>
      </c>
      <c r="D20" s="492"/>
      <c r="E20" s="211" t="str">
        <f t="shared" si="1"/>
        <v/>
      </c>
      <c r="F20" s="283"/>
      <c r="G20" s="284" t="str">
        <f t="shared" si="0"/>
        <v/>
      </c>
      <c r="I20" s="286" t="s">
        <v>443</v>
      </c>
    </row>
    <row r="21" spans="1:14" x14ac:dyDescent="0.3">
      <c r="A21" s="14" t="s">
        <v>39</v>
      </c>
      <c r="B21" s="502"/>
      <c r="C21" s="7" t="s">
        <v>41</v>
      </c>
      <c r="D21" s="492"/>
      <c r="E21" s="211" t="str">
        <f t="shared" si="1"/>
        <v/>
      </c>
      <c r="F21" s="283"/>
      <c r="G21" s="284" t="str">
        <f t="shared" si="0"/>
        <v/>
      </c>
      <c r="I21" s="171" t="s">
        <v>444</v>
      </c>
    </row>
    <row r="22" spans="1:14" ht="15.6" x14ac:dyDescent="0.3">
      <c r="A22" s="14"/>
      <c r="B22" s="502"/>
      <c r="C22" s="7"/>
      <c r="F22" s="283"/>
      <c r="G22" s="281" t="s">
        <v>233</v>
      </c>
      <c r="I22" s="285"/>
      <c r="J22" s="171" t="s">
        <v>506</v>
      </c>
    </row>
    <row r="23" spans="1:14" ht="15.6" x14ac:dyDescent="0.3">
      <c r="A23" s="14" t="s">
        <v>25</v>
      </c>
      <c r="B23" s="502"/>
      <c r="C23" s="15" t="s">
        <v>42</v>
      </c>
      <c r="F23" s="9"/>
      <c r="G23" s="281" t="s">
        <v>233</v>
      </c>
      <c r="I23" s="285"/>
      <c r="J23" s="171" t="s">
        <v>507</v>
      </c>
    </row>
    <row r="24" spans="1:14" ht="15.6" x14ac:dyDescent="0.3">
      <c r="A24" s="14" t="s">
        <v>43</v>
      </c>
      <c r="B24" s="502"/>
      <c r="C24" s="7" t="s">
        <v>44</v>
      </c>
      <c r="D24" s="492">
        <f>-(Datos!D308+Datos!D314)</f>
        <v>-1188300</v>
      </c>
      <c r="E24" s="211"/>
      <c r="F24" s="283">
        <v>-6372037.5899999999</v>
      </c>
      <c r="G24" s="284">
        <f>IF(SUM(D24:F24)=0,"",1)</f>
        <v>1</v>
      </c>
      <c r="I24" s="285"/>
      <c r="J24" s="171" t="s">
        <v>508</v>
      </c>
    </row>
    <row r="25" spans="1:14" ht="15.6" x14ac:dyDescent="0.3">
      <c r="A25" s="14" t="s">
        <v>45</v>
      </c>
      <c r="B25" s="502"/>
      <c r="C25" s="7" t="s">
        <v>46</v>
      </c>
      <c r="D25" s="492">
        <f>Datos!D97</f>
        <v>0</v>
      </c>
      <c r="E25" s="211"/>
      <c r="F25" s="283">
        <v>0</v>
      </c>
      <c r="G25" s="284" t="str">
        <f>IF(SUM(D25:F25)=0,"",1)</f>
        <v/>
      </c>
      <c r="I25" s="285"/>
      <c r="J25" s="171" t="s">
        <v>512</v>
      </c>
    </row>
    <row r="26" spans="1:14" ht="15.6" x14ac:dyDescent="0.3">
      <c r="A26" s="14"/>
      <c r="B26" s="502"/>
      <c r="C26" s="7"/>
      <c r="F26" s="9"/>
      <c r="G26" s="281" t="s">
        <v>233</v>
      </c>
      <c r="I26" s="285"/>
      <c r="J26" s="171" t="s">
        <v>511</v>
      </c>
    </row>
    <row r="27" spans="1:14" x14ac:dyDescent="0.3">
      <c r="A27" s="14" t="s">
        <v>25</v>
      </c>
      <c r="B27" s="502"/>
      <c r="C27" s="15" t="s">
        <v>47</v>
      </c>
      <c r="F27" s="9"/>
      <c r="G27" s="281" t="s">
        <v>233</v>
      </c>
      <c r="I27" s="286" t="s">
        <v>438</v>
      </c>
    </row>
    <row r="28" spans="1:14" x14ac:dyDescent="0.3">
      <c r="A28" s="14" t="s">
        <v>48</v>
      </c>
      <c r="B28" s="502"/>
      <c r="C28" s="7" t="s">
        <v>49</v>
      </c>
      <c r="D28" s="580">
        <v>-53887819.438000008</v>
      </c>
      <c r="E28" s="211"/>
      <c r="F28" s="9">
        <v>-50267958.582333326</v>
      </c>
      <c r="G28" s="284">
        <f>IF(SUM(D28:F28)=0,"",1)</f>
        <v>1</v>
      </c>
      <c r="J28" s="171" t="s">
        <v>509</v>
      </c>
    </row>
    <row r="29" spans="1:14" ht="15.6" x14ac:dyDescent="0.3">
      <c r="A29" s="14" t="s">
        <v>50</v>
      </c>
      <c r="B29" s="502"/>
      <c r="C29" s="7" t="s">
        <v>10</v>
      </c>
      <c r="F29" s="9"/>
      <c r="G29" s="281" t="s">
        <v>233</v>
      </c>
      <c r="I29" s="121"/>
      <c r="J29" s="656" t="s">
        <v>510</v>
      </c>
      <c r="K29" s="656"/>
      <c r="L29" s="656"/>
      <c r="M29" s="656"/>
      <c r="N29" s="656"/>
    </row>
    <row r="30" spans="1:14" ht="15.6" x14ac:dyDescent="0.3">
      <c r="A30" s="16"/>
      <c r="B30" s="502"/>
      <c r="C30" s="17" t="s">
        <v>51</v>
      </c>
      <c r="F30" s="9"/>
      <c r="G30" s="281" t="s">
        <v>233</v>
      </c>
      <c r="I30" s="121"/>
      <c r="J30" s="656"/>
      <c r="K30" s="656"/>
      <c r="L30" s="656"/>
      <c r="M30" s="656"/>
      <c r="N30" s="656"/>
    </row>
    <row r="31" spans="1:14" ht="15.6" x14ac:dyDescent="0.3">
      <c r="A31" s="16"/>
      <c r="B31" s="502"/>
      <c r="C31" s="17"/>
      <c r="D31" s="493"/>
      <c r="F31" s="497"/>
      <c r="G31" s="281" t="s">
        <v>233</v>
      </c>
      <c r="I31" s="121"/>
      <c r="J31" s="171" t="s">
        <v>512</v>
      </c>
    </row>
    <row r="32" spans="1:14" ht="15.6" x14ac:dyDescent="0.3">
      <c r="A32" s="16" t="s">
        <v>25</v>
      </c>
      <c r="B32" s="502"/>
      <c r="C32" s="15" t="s">
        <v>52</v>
      </c>
      <c r="F32" s="497"/>
      <c r="G32" s="281" t="s">
        <v>233</v>
      </c>
      <c r="I32" s="121"/>
      <c r="J32" s="171" t="s">
        <v>511</v>
      </c>
    </row>
    <row r="33" spans="1:10" ht="15.6" x14ac:dyDescent="0.3">
      <c r="A33" s="14" t="s">
        <v>53</v>
      </c>
      <c r="B33" s="502"/>
      <c r="C33" s="18" t="s">
        <v>54</v>
      </c>
      <c r="D33" s="489">
        <v>-32766577.5</v>
      </c>
      <c r="E33" s="211"/>
      <c r="F33" s="9">
        <v>-32976113.5</v>
      </c>
      <c r="G33" s="284">
        <f>IF(SUM(D33:F33)=0,"",1)</f>
        <v>1</v>
      </c>
      <c r="I33" s="121"/>
      <c r="J33" s="171" t="s">
        <v>513</v>
      </c>
    </row>
    <row r="34" spans="1:10" x14ac:dyDescent="0.3">
      <c r="A34" s="16"/>
      <c r="B34" s="502"/>
      <c r="C34" s="17"/>
      <c r="D34" s="498"/>
      <c r="F34" s="497"/>
      <c r="G34" s="281" t="s">
        <v>233</v>
      </c>
    </row>
    <row r="35" spans="1:10" ht="15.6" x14ac:dyDescent="0.3">
      <c r="A35" s="16" t="s">
        <v>25</v>
      </c>
      <c r="B35" s="502"/>
      <c r="C35" s="15" t="s">
        <v>55</v>
      </c>
      <c r="D35" s="498"/>
      <c r="F35" s="497"/>
      <c r="G35" s="281" t="s">
        <v>233</v>
      </c>
      <c r="I35" s="120"/>
    </row>
    <row r="36" spans="1:10" ht="15.6" x14ac:dyDescent="0.3">
      <c r="A36" s="16"/>
      <c r="B36" s="502"/>
      <c r="C36" s="19" t="s">
        <v>56</v>
      </c>
      <c r="D36" s="493"/>
      <c r="F36" s="497"/>
      <c r="G36" s="281" t="s">
        <v>233</v>
      </c>
      <c r="I36" s="120"/>
    </row>
    <row r="37" spans="1:10" ht="14.25" customHeight="1" x14ac:dyDescent="0.3">
      <c r="A37" s="16"/>
      <c r="B37" s="502"/>
      <c r="C37" s="20" t="s">
        <v>57</v>
      </c>
      <c r="D37" s="493"/>
      <c r="F37" s="497"/>
      <c r="G37" s="281" t="s">
        <v>233</v>
      </c>
      <c r="I37" s="120"/>
    </row>
    <row r="38" spans="1:10" ht="15.6" hidden="1" x14ac:dyDescent="0.3">
      <c r="A38" s="14" t="s">
        <v>58</v>
      </c>
      <c r="B38" s="502" t="s">
        <v>59</v>
      </c>
      <c r="C38" s="7" t="s">
        <v>60</v>
      </c>
      <c r="D38" s="489">
        <v>14793785.840000002</v>
      </c>
      <c r="E38" s="211"/>
      <c r="F38" s="9">
        <v>14737785.840000002</v>
      </c>
      <c r="G38" s="272">
        <f>IF(SUM(C38:D38)=0,"",1)</f>
        <v>1</v>
      </c>
      <c r="H38" s="591">
        <f>SUM(D38:D160)</f>
        <v>31342539.429999992</v>
      </c>
      <c r="I38" s="120"/>
    </row>
    <row r="39" spans="1:10" ht="13.5" hidden="1" customHeight="1" x14ac:dyDescent="0.3">
      <c r="A39" s="14" t="s">
        <v>58</v>
      </c>
      <c r="B39" s="502" t="s">
        <v>61</v>
      </c>
      <c r="C39" s="7" t="s">
        <v>505</v>
      </c>
      <c r="D39" s="489">
        <v>0</v>
      </c>
      <c r="E39" s="211"/>
      <c r="F39" s="9">
        <v>220000</v>
      </c>
      <c r="G39" s="272">
        <v>1</v>
      </c>
      <c r="I39" s="120"/>
    </row>
    <row r="40" spans="1:10" ht="15.6" hidden="1" x14ac:dyDescent="0.3">
      <c r="A40" s="14" t="s">
        <v>58</v>
      </c>
      <c r="B40" s="502" t="s">
        <v>36</v>
      </c>
      <c r="C40" s="7" t="s">
        <v>63</v>
      </c>
      <c r="D40" s="489">
        <v>120000</v>
      </c>
      <c r="E40" s="211"/>
      <c r="F40" s="9">
        <v>0</v>
      </c>
      <c r="G40" s="272">
        <f t="shared" ref="G40:G104" si="3">IF(SUM(C40:D40)=0,"",1)</f>
        <v>1</v>
      </c>
      <c r="I40" s="120"/>
    </row>
    <row r="41" spans="1:10" ht="15.6" hidden="1" x14ac:dyDescent="0.3">
      <c r="A41" s="14" t="s">
        <v>58</v>
      </c>
      <c r="B41" s="502" t="s">
        <v>39</v>
      </c>
      <c r="C41" s="7" t="s">
        <v>64</v>
      </c>
      <c r="D41" s="489">
        <v>0</v>
      </c>
      <c r="E41" s="211"/>
      <c r="F41" s="9">
        <v>0</v>
      </c>
      <c r="G41" s="272" t="str">
        <f t="shared" si="3"/>
        <v/>
      </c>
      <c r="I41" s="120"/>
    </row>
    <row r="42" spans="1:10" ht="15.6" hidden="1" x14ac:dyDescent="0.3">
      <c r="A42" s="14" t="s">
        <v>58</v>
      </c>
      <c r="B42" s="576" t="s">
        <v>65</v>
      </c>
      <c r="C42" s="7" t="s">
        <v>66</v>
      </c>
      <c r="D42" s="489">
        <v>0</v>
      </c>
      <c r="E42" s="211"/>
      <c r="F42" s="9">
        <v>0</v>
      </c>
      <c r="G42" s="272" t="str">
        <f t="shared" si="3"/>
        <v/>
      </c>
      <c r="I42" s="120"/>
    </row>
    <row r="43" spans="1:10" ht="15.6" hidden="1" x14ac:dyDescent="0.3">
      <c r="A43" s="14" t="s">
        <v>58</v>
      </c>
      <c r="B43" s="502" t="s">
        <v>67</v>
      </c>
      <c r="C43" s="7" t="s">
        <v>68</v>
      </c>
      <c r="D43" s="489">
        <v>129210.89</v>
      </c>
      <c r="E43" s="211"/>
      <c r="F43" s="9">
        <v>0</v>
      </c>
      <c r="G43" s="272">
        <f t="shared" si="3"/>
        <v>1</v>
      </c>
      <c r="I43" s="120"/>
    </row>
    <row r="44" spans="1:10" ht="15.6" hidden="1" x14ac:dyDescent="0.3">
      <c r="A44" s="16"/>
      <c r="B44" s="502"/>
      <c r="C44" s="20" t="s">
        <v>69</v>
      </c>
      <c r="D44" s="489">
        <v>0</v>
      </c>
      <c r="F44" s="497">
        <v>0</v>
      </c>
      <c r="G44" s="272" t="s">
        <v>233</v>
      </c>
      <c r="I44" s="120"/>
    </row>
    <row r="45" spans="1:10" ht="15.6" hidden="1" x14ac:dyDescent="0.3">
      <c r="A45" s="14" t="s">
        <v>58</v>
      </c>
      <c r="B45" s="502" t="s">
        <v>70</v>
      </c>
      <c r="C45" s="7" t="s">
        <v>71</v>
      </c>
      <c r="D45" s="489">
        <v>0</v>
      </c>
      <c r="E45" s="211"/>
      <c r="F45" s="9">
        <v>0</v>
      </c>
      <c r="G45" s="272" t="str">
        <f t="shared" si="3"/>
        <v/>
      </c>
      <c r="I45" s="120"/>
    </row>
    <row r="46" spans="1:10" ht="15.6" hidden="1" x14ac:dyDescent="0.3">
      <c r="A46" s="14" t="s">
        <v>58</v>
      </c>
      <c r="B46" s="502" t="s">
        <v>43</v>
      </c>
      <c r="C46" s="7" t="s">
        <v>72</v>
      </c>
      <c r="D46" s="489">
        <v>390000</v>
      </c>
      <c r="E46" s="211"/>
      <c r="F46" s="9">
        <v>390000</v>
      </c>
      <c r="G46" s="272">
        <f t="shared" si="3"/>
        <v>1</v>
      </c>
      <c r="I46" s="120"/>
    </row>
    <row r="47" spans="1:10" ht="15.6" hidden="1" x14ac:dyDescent="0.3">
      <c r="A47" s="167" t="s">
        <v>58</v>
      </c>
      <c r="B47" s="502"/>
      <c r="C47" s="7" t="s">
        <v>370</v>
      </c>
      <c r="D47" s="489">
        <v>2436797.48</v>
      </c>
      <c r="E47" s="211"/>
      <c r="F47" s="9">
        <v>0</v>
      </c>
      <c r="G47" s="272">
        <f t="shared" si="3"/>
        <v>1</v>
      </c>
      <c r="I47" s="120"/>
    </row>
    <row r="48" spans="1:10" ht="15.6" hidden="1" x14ac:dyDescent="0.3">
      <c r="A48" s="14" t="s">
        <v>58</v>
      </c>
      <c r="B48" s="502" t="s">
        <v>73</v>
      </c>
      <c r="C48" s="7" t="s">
        <v>74</v>
      </c>
      <c r="D48" s="489">
        <v>976018</v>
      </c>
      <c r="E48" s="211"/>
      <c r="F48" s="9">
        <v>921018</v>
      </c>
      <c r="G48" s="272">
        <f t="shared" si="3"/>
        <v>1</v>
      </c>
      <c r="I48" s="120"/>
    </row>
    <row r="49" spans="1:9" ht="15.6" hidden="1" x14ac:dyDescent="0.3">
      <c r="A49" s="16"/>
      <c r="B49" s="502"/>
      <c r="C49" s="20" t="s">
        <v>75</v>
      </c>
      <c r="D49" s="499"/>
      <c r="F49" s="497"/>
      <c r="G49" s="272" t="s">
        <v>233</v>
      </c>
      <c r="I49" s="120"/>
    </row>
    <row r="50" spans="1:9" ht="15.6" hidden="1" x14ac:dyDescent="0.3">
      <c r="A50" s="14" t="s">
        <v>58</v>
      </c>
      <c r="B50" s="502" t="s">
        <v>76</v>
      </c>
      <c r="C50" s="7" t="s">
        <v>77</v>
      </c>
      <c r="D50" s="489">
        <v>0</v>
      </c>
      <c r="E50" s="211"/>
      <c r="F50" s="9">
        <v>0</v>
      </c>
      <c r="G50" s="272" t="str">
        <f t="shared" si="3"/>
        <v/>
      </c>
      <c r="I50" s="120"/>
    </row>
    <row r="51" spans="1:9" ht="27.6" hidden="1" x14ac:dyDescent="0.3">
      <c r="A51" s="16"/>
      <c r="B51" s="502"/>
      <c r="C51" s="518" t="s">
        <v>78</v>
      </c>
      <c r="D51" s="499"/>
      <c r="F51" s="497"/>
      <c r="G51" s="272" t="s">
        <v>233</v>
      </c>
      <c r="I51" s="120"/>
    </row>
    <row r="52" spans="1:9" ht="15.6" hidden="1" x14ac:dyDescent="0.3">
      <c r="A52" s="14" t="s">
        <v>58</v>
      </c>
      <c r="B52" s="502" t="s">
        <v>45</v>
      </c>
      <c r="C52" s="7" t="s">
        <v>79</v>
      </c>
      <c r="D52" s="489">
        <v>1040909.94</v>
      </c>
      <c r="E52" s="211"/>
      <c r="F52" s="9">
        <v>1040275.3200000002</v>
      </c>
      <c r="G52" s="272">
        <f t="shared" si="3"/>
        <v>1</v>
      </c>
      <c r="I52" s="120"/>
    </row>
    <row r="53" spans="1:9" ht="15.6" hidden="1" x14ac:dyDescent="0.3">
      <c r="A53" s="14" t="s">
        <v>58</v>
      </c>
      <c r="B53" s="502"/>
      <c r="C53" s="7" t="s">
        <v>80</v>
      </c>
      <c r="D53" s="489">
        <v>1058878.78</v>
      </c>
      <c r="E53" s="211"/>
      <c r="F53" s="9">
        <v>1062002.78</v>
      </c>
      <c r="G53" s="272">
        <f t="shared" si="3"/>
        <v>1</v>
      </c>
      <c r="I53" s="120"/>
    </row>
    <row r="54" spans="1:9" ht="15.6" hidden="1" x14ac:dyDescent="0.3">
      <c r="A54" s="14" t="s">
        <v>58</v>
      </c>
      <c r="B54" s="502"/>
      <c r="C54" s="7" t="s">
        <v>81</v>
      </c>
      <c r="D54" s="489">
        <v>122397.53</v>
      </c>
      <c r="E54" s="211"/>
      <c r="F54" s="9">
        <v>116157.90000000002</v>
      </c>
      <c r="G54" s="272">
        <f t="shared" si="3"/>
        <v>1</v>
      </c>
      <c r="I54" s="120"/>
    </row>
    <row r="55" spans="1:9" ht="15.6" hidden="1" x14ac:dyDescent="0.3">
      <c r="A55" s="16"/>
      <c r="B55" s="502"/>
      <c r="C55" s="19" t="s">
        <v>82</v>
      </c>
      <c r="D55" s="498"/>
      <c r="F55" s="497"/>
      <c r="G55" s="272" t="s">
        <v>233</v>
      </c>
      <c r="I55" s="120"/>
    </row>
    <row r="56" spans="1:9" ht="15.6" hidden="1" x14ac:dyDescent="0.3">
      <c r="A56" s="16"/>
      <c r="B56" s="502"/>
      <c r="C56" s="20" t="s">
        <v>83</v>
      </c>
      <c r="D56" s="498"/>
      <c r="F56" s="497">
        <v>0</v>
      </c>
      <c r="G56" s="272" t="s">
        <v>233</v>
      </c>
      <c r="I56" s="120"/>
    </row>
    <row r="57" spans="1:9" ht="15.6" hidden="1" x14ac:dyDescent="0.3">
      <c r="A57" s="14" t="s">
        <v>84</v>
      </c>
      <c r="B57" s="502"/>
      <c r="C57" s="7" t="s">
        <v>85</v>
      </c>
      <c r="D57" s="489">
        <v>0</v>
      </c>
      <c r="E57" s="211"/>
      <c r="F57" s="9"/>
      <c r="G57" s="272" t="str">
        <f t="shared" si="3"/>
        <v/>
      </c>
      <c r="I57" s="120"/>
    </row>
    <row r="58" spans="1:9" ht="15.6" hidden="1" x14ac:dyDescent="0.3">
      <c r="A58" s="14" t="s">
        <v>84</v>
      </c>
      <c r="B58" s="502"/>
      <c r="C58" s="7" t="s">
        <v>86</v>
      </c>
      <c r="D58" s="489">
        <v>623343.5</v>
      </c>
      <c r="E58" s="211"/>
      <c r="F58" s="9">
        <v>534119.07000000007</v>
      </c>
      <c r="G58" s="272">
        <f t="shared" si="3"/>
        <v>1</v>
      </c>
      <c r="I58" s="120"/>
    </row>
    <row r="59" spans="1:9" ht="15.6" hidden="1" x14ac:dyDescent="0.3">
      <c r="A59" s="14" t="s">
        <v>84</v>
      </c>
      <c r="B59" s="502"/>
      <c r="C59" s="7" t="s">
        <v>87</v>
      </c>
      <c r="D59" s="489">
        <v>0</v>
      </c>
      <c r="E59" s="211"/>
      <c r="F59" s="9">
        <v>0</v>
      </c>
      <c r="G59" s="272" t="str">
        <f t="shared" si="3"/>
        <v/>
      </c>
      <c r="I59" s="120"/>
    </row>
    <row r="60" spans="1:9" ht="15.6" hidden="1" x14ac:dyDescent="0.3">
      <c r="A60" s="14" t="s">
        <v>84</v>
      </c>
      <c r="B60" s="502"/>
      <c r="C60" s="7" t="s">
        <v>88</v>
      </c>
      <c r="D60" s="489">
        <v>279356.06</v>
      </c>
      <c r="E60" s="211"/>
      <c r="F60" s="9">
        <v>275081.07999999996</v>
      </c>
      <c r="G60" s="272">
        <f t="shared" si="3"/>
        <v>1</v>
      </c>
      <c r="I60" s="120"/>
    </row>
    <row r="61" spans="1:9" ht="15.6" hidden="1" x14ac:dyDescent="0.3">
      <c r="A61" s="14" t="s">
        <v>84</v>
      </c>
      <c r="B61" s="502"/>
      <c r="C61" s="577" t="s">
        <v>565</v>
      </c>
      <c r="D61" s="489">
        <v>208830.12999999998</v>
      </c>
      <c r="E61" s="211"/>
      <c r="F61" s="9">
        <v>262592.16000000003</v>
      </c>
      <c r="G61" s="272">
        <f t="shared" si="3"/>
        <v>1</v>
      </c>
      <c r="I61" s="120"/>
    </row>
    <row r="62" spans="1:9" ht="30" hidden="1" customHeight="1" x14ac:dyDescent="0.3">
      <c r="A62" s="16"/>
      <c r="B62" s="502"/>
      <c r="C62" s="518" t="s">
        <v>89</v>
      </c>
      <c r="D62" s="498"/>
      <c r="F62" s="497">
        <v>0</v>
      </c>
      <c r="G62" s="272" t="s">
        <v>233</v>
      </c>
      <c r="I62" s="120"/>
    </row>
    <row r="63" spans="1:9" ht="15.6" hidden="1" x14ac:dyDescent="0.3">
      <c r="A63" s="14" t="s">
        <v>84</v>
      </c>
      <c r="B63" s="502"/>
      <c r="C63" s="7" t="s">
        <v>90</v>
      </c>
      <c r="D63" s="489">
        <v>0</v>
      </c>
      <c r="E63" s="211"/>
      <c r="F63" s="9"/>
      <c r="G63" s="272" t="str">
        <f t="shared" si="3"/>
        <v/>
      </c>
      <c r="I63" s="120"/>
    </row>
    <row r="64" spans="1:9" ht="15.6" hidden="1" x14ac:dyDescent="0.3">
      <c r="A64" s="14" t="s">
        <v>84</v>
      </c>
      <c r="B64" s="502"/>
      <c r="C64" s="7" t="s">
        <v>91</v>
      </c>
      <c r="D64" s="489">
        <v>0</v>
      </c>
      <c r="E64" s="211"/>
      <c r="F64" s="9">
        <v>215468</v>
      </c>
      <c r="G64" s="272">
        <v>1</v>
      </c>
      <c r="I64" s="120"/>
    </row>
    <row r="65" spans="1:9" ht="15.6" hidden="1" x14ac:dyDescent="0.3">
      <c r="A65" s="16"/>
      <c r="B65" s="502"/>
      <c r="C65" s="20" t="s">
        <v>92</v>
      </c>
      <c r="D65" s="498"/>
      <c r="F65" s="497"/>
      <c r="G65" s="272" t="s">
        <v>233</v>
      </c>
      <c r="I65" s="120"/>
    </row>
    <row r="66" spans="1:9" ht="15.6" hidden="1" x14ac:dyDescent="0.3">
      <c r="A66" s="14" t="s">
        <v>84</v>
      </c>
      <c r="B66" s="502"/>
      <c r="C66" s="7" t="s">
        <v>93</v>
      </c>
      <c r="D66" s="489">
        <v>1040571.7400000001</v>
      </c>
      <c r="E66" s="211"/>
      <c r="F66" s="9">
        <v>763479.11</v>
      </c>
      <c r="G66" s="272">
        <f t="shared" si="3"/>
        <v>1</v>
      </c>
      <c r="I66" s="120"/>
    </row>
    <row r="67" spans="1:9" ht="15.6" hidden="1" x14ac:dyDescent="0.3">
      <c r="A67" s="14" t="s">
        <v>84</v>
      </c>
      <c r="B67" s="502"/>
      <c r="C67" s="7" t="s">
        <v>94</v>
      </c>
      <c r="D67" s="489">
        <v>119458.8</v>
      </c>
      <c r="E67" s="211"/>
      <c r="F67" s="9"/>
      <c r="G67" s="272">
        <f t="shared" si="3"/>
        <v>1</v>
      </c>
      <c r="I67" s="120"/>
    </row>
    <row r="68" spans="1:9" ht="15.6" hidden="1" x14ac:dyDescent="0.3">
      <c r="A68" s="16"/>
      <c r="B68" s="502"/>
      <c r="C68" s="20" t="s">
        <v>95</v>
      </c>
      <c r="D68" s="498"/>
      <c r="F68" s="497">
        <v>0</v>
      </c>
      <c r="G68" s="272" t="s">
        <v>233</v>
      </c>
      <c r="I68" s="120"/>
    </row>
    <row r="69" spans="1:9" ht="15.6" hidden="1" x14ac:dyDescent="0.3">
      <c r="A69" s="14" t="s">
        <v>84</v>
      </c>
      <c r="B69" s="502"/>
      <c r="C69" s="7" t="s">
        <v>96</v>
      </c>
      <c r="D69" s="489">
        <v>302833.06000000006</v>
      </c>
      <c r="E69" s="211"/>
      <c r="F69" s="9">
        <v>0</v>
      </c>
      <c r="G69" s="272">
        <f t="shared" si="3"/>
        <v>1</v>
      </c>
      <c r="I69" s="120"/>
    </row>
    <row r="70" spans="1:9" ht="15.6" hidden="1" x14ac:dyDescent="0.3">
      <c r="A70" s="14" t="s">
        <v>84</v>
      </c>
      <c r="B70" s="502"/>
      <c r="C70" s="7" t="s">
        <v>97</v>
      </c>
      <c r="D70" s="489">
        <v>45000</v>
      </c>
      <c r="E70" s="211"/>
      <c r="F70" s="9"/>
      <c r="G70" s="272">
        <f t="shared" si="3"/>
        <v>1</v>
      </c>
      <c r="I70" s="120"/>
    </row>
    <row r="71" spans="1:9" ht="15.6" hidden="1" x14ac:dyDescent="0.3">
      <c r="A71" s="16"/>
      <c r="B71" s="502"/>
      <c r="C71" s="20" t="s">
        <v>98</v>
      </c>
      <c r="D71" s="498"/>
      <c r="F71" s="497">
        <v>0</v>
      </c>
      <c r="G71" s="272" t="s">
        <v>233</v>
      </c>
      <c r="I71" s="120"/>
    </row>
    <row r="72" spans="1:9" ht="15.6" hidden="1" x14ac:dyDescent="0.3">
      <c r="A72" s="14" t="s">
        <v>84</v>
      </c>
      <c r="B72" s="502"/>
      <c r="C72" s="7" t="s">
        <v>99</v>
      </c>
      <c r="D72" s="489">
        <v>0</v>
      </c>
      <c r="E72" s="211"/>
      <c r="F72" s="9">
        <v>0</v>
      </c>
      <c r="G72" s="272" t="str">
        <f t="shared" si="3"/>
        <v/>
      </c>
      <c r="I72" s="120"/>
    </row>
    <row r="73" spans="1:9" ht="15.6" hidden="1" x14ac:dyDescent="0.3">
      <c r="A73" s="14" t="s">
        <v>84</v>
      </c>
      <c r="B73" s="503" t="s">
        <v>100</v>
      </c>
      <c r="C73" s="7" t="s">
        <v>101</v>
      </c>
      <c r="D73" s="489">
        <v>0</v>
      </c>
      <c r="E73" s="211"/>
      <c r="F73" s="9"/>
      <c r="G73" s="272" t="str">
        <f t="shared" si="3"/>
        <v/>
      </c>
      <c r="I73" s="120"/>
    </row>
    <row r="74" spans="1:9" ht="15.6" hidden="1" x14ac:dyDescent="0.3">
      <c r="A74" s="521" t="s">
        <v>84</v>
      </c>
      <c r="B74" s="522"/>
      <c r="C74" s="282" t="s">
        <v>533</v>
      </c>
      <c r="D74" s="520">
        <v>163000</v>
      </c>
      <c r="E74" s="211"/>
      <c r="F74" s="9">
        <v>150000</v>
      </c>
      <c r="G74" s="272">
        <f t="shared" si="3"/>
        <v>1</v>
      </c>
      <c r="I74" s="120"/>
    </row>
    <row r="75" spans="1:9" ht="15.6" hidden="1" x14ac:dyDescent="0.3">
      <c r="A75" s="14" t="s">
        <v>84</v>
      </c>
      <c r="B75" s="502"/>
      <c r="C75" s="7" t="s">
        <v>102</v>
      </c>
      <c r="E75" s="211"/>
      <c r="F75" s="9"/>
      <c r="G75" s="272" t="str">
        <f t="shared" si="3"/>
        <v/>
      </c>
      <c r="I75" s="120"/>
    </row>
    <row r="76" spans="1:9" ht="15.6" hidden="1" x14ac:dyDescent="0.3">
      <c r="A76" s="16"/>
      <c r="B76" s="502"/>
      <c r="C76" s="20" t="s">
        <v>103</v>
      </c>
      <c r="D76" s="498"/>
      <c r="F76" s="497">
        <v>0</v>
      </c>
      <c r="G76" s="272" t="s">
        <v>233</v>
      </c>
      <c r="I76" s="120"/>
    </row>
    <row r="77" spans="1:9" ht="15.6" hidden="1" x14ac:dyDescent="0.3">
      <c r="A77" s="14" t="s">
        <v>84</v>
      </c>
      <c r="B77" s="502"/>
      <c r="C77" s="7" t="s">
        <v>104</v>
      </c>
      <c r="D77" s="489">
        <v>0</v>
      </c>
      <c r="E77" s="211"/>
      <c r="F77" s="9"/>
      <c r="G77" s="272" t="str">
        <f t="shared" si="3"/>
        <v/>
      </c>
      <c r="I77" s="120"/>
    </row>
    <row r="78" spans="1:9" ht="15.6" hidden="1" x14ac:dyDescent="0.3">
      <c r="A78" s="14" t="s">
        <v>84</v>
      </c>
      <c r="B78" s="503" t="s">
        <v>105</v>
      </c>
      <c r="C78" s="7" t="s">
        <v>106</v>
      </c>
      <c r="D78" s="489">
        <v>2107982.4699999997</v>
      </c>
      <c r="E78" s="211"/>
      <c r="F78" s="515">
        <v>1789082.56</v>
      </c>
      <c r="G78" s="272">
        <f t="shared" si="3"/>
        <v>1</v>
      </c>
      <c r="I78" s="120"/>
    </row>
    <row r="79" spans="1:9" ht="30" hidden="1" customHeight="1" x14ac:dyDescent="0.3">
      <c r="A79" s="16"/>
      <c r="B79" s="502"/>
      <c r="C79" s="518" t="s">
        <v>107</v>
      </c>
      <c r="D79" s="498"/>
      <c r="E79" s="211"/>
      <c r="F79" s="497">
        <v>0</v>
      </c>
      <c r="G79" s="272" t="s">
        <v>233</v>
      </c>
      <c r="I79" s="120"/>
    </row>
    <row r="80" spans="1:9" ht="15.6" hidden="1" x14ac:dyDescent="0.3">
      <c r="A80" s="14" t="s">
        <v>84</v>
      </c>
      <c r="B80" s="578" t="s">
        <v>566</v>
      </c>
      <c r="C80" s="7" t="s">
        <v>108</v>
      </c>
      <c r="D80" s="489">
        <v>59000</v>
      </c>
      <c r="E80" s="211"/>
      <c r="F80" s="9">
        <v>228289</v>
      </c>
      <c r="G80" s="272">
        <f t="shared" si="3"/>
        <v>1</v>
      </c>
      <c r="I80" s="120"/>
    </row>
    <row r="81" spans="1:9" ht="15.6" hidden="1" x14ac:dyDescent="0.3">
      <c r="A81" s="167" t="s">
        <v>84</v>
      </c>
      <c r="B81" s="578" t="s">
        <v>567</v>
      </c>
      <c r="C81" s="577" t="s">
        <v>568</v>
      </c>
      <c r="D81" s="489">
        <v>44065.66</v>
      </c>
      <c r="E81" s="211"/>
      <c r="F81" s="9">
        <v>0</v>
      </c>
      <c r="G81" s="272">
        <f t="shared" si="3"/>
        <v>1</v>
      </c>
      <c r="I81" s="120"/>
    </row>
    <row r="82" spans="1:9" ht="15.6" hidden="1" x14ac:dyDescent="0.3">
      <c r="A82" s="14" t="s">
        <v>84</v>
      </c>
      <c r="B82" s="503" t="s">
        <v>109</v>
      </c>
      <c r="C82" s="7" t="s">
        <v>110</v>
      </c>
      <c r="D82" s="489">
        <v>0</v>
      </c>
      <c r="E82" s="211"/>
      <c r="F82" s="9"/>
      <c r="G82" s="272" t="str">
        <f t="shared" si="3"/>
        <v/>
      </c>
      <c r="I82" s="120"/>
    </row>
    <row r="83" spans="1:9" ht="15.6" hidden="1" x14ac:dyDescent="0.3">
      <c r="A83" s="14" t="s">
        <v>84</v>
      </c>
      <c r="B83" s="503"/>
      <c r="C83" s="7" t="s">
        <v>111</v>
      </c>
      <c r="D83" s="489">
        <v>0</v>
      </c>
      <c r="E83" s="211"/>
      <c r="F83" s="9"/>
      <c r="G83" s="272" t="str">
        <f t="shared" si="3"/>
        <v/>
      </c>
      <c r="I83" s="120"/>
    </row>
    <row r="84" spans="1:9" ht="15.6" hidden="1" x14ac:dyDescent="0.3">
      <c r="A84" s="14" t="s">
        <v>84</v>
      </c>
      <c r="B84" s="503"/>
      <c r="C84" s="7" t="s">
        <v>112</v>
      </c>
      <c r="D84" s="489">
        <v>0</v>
      </c>
      <c r="E84" s="211"/>
      <c r="F84" s="9">
        <v>115381.58</v>
      </c>
      <c r="G84" s="272">
        <v>1</v>
      </c>
      <c r="I84" s="120"/>
    </row>
    <row r="85" spans="1:9" ht="15.6" hidden="1" x14ac:dyDescent="0.3">
      <c r="A85" s="14" t="s">
        <v>84</v>
      </c>
      <c r="B85" s="503" t="s">
        <v>113</v>
      </c>
      <c r="C85" s="7" t="s">
        <v>114</v>
      </c>
      <c r="D85" s="489">
        <v>0</v>
      </c>
      <c r="E85" s="211"/>
      <c r="F85" s="9">
        <v>5310</v>
      </c>
      <c r="G85" s="272">
        <v>1</v>
      </c>
      <c r="I85" s="120"/>
    </row>
    <row r="86" spans="1:9" ht="15.6" hidden="1" x14ac:dyDescent="0.3">
      <c r="A86" s="14" t="s">
        <v>84</v>
      </c>
      <c r="B86" s="578" t="s">
        <v>569</v>
      </c>
      <c r="C86" s="7" t="s">
        <v>115</v>
      </c>
      <c r="D86" s="489">
        <v>53143.240000000005</v>
      </c>
      <c r="E86" s="211"/>
      <c r="F86" s="9">
        <v>303671.96000000002</v>
      </c>
      <c r="G86" s="272">
        <f t="shared" si="3"/>
        <v>1</v>
      </c>
      <c r="I86" s="120"/>
    </row>
    <row r="87" spans="1:9" ht="15.6" hidden="1" x14ac:dyDescent="0.3">
      <c r="A87" s="16"/>
      <c r="B87" s="502"/>
      <c r="C87" s="20" t="s">
        <v>116</v>
      </c>
      <c r="D87" s="498"/>
      <c r="F87" s="497" t="s">
        <v>1</v>
      </c>
      <c r="G87" s="272" t="s">
        <v>233</v>
      </c>
      <c r="I87" s="120"/>
    </row>
    <row r="88" spans="1:9" ht="15.6" hidden="1" x14ac:dyDescent="0.3">
      <c r="A88" s="14" t="s">
        <v>84</v>
      </c>
      <c r="B88" s="502"/>
      <c r="C88" s="7" t="s">
        <v>117</v>
      </c>
      <c r="D88" s="489">
        <v>1619.88</v>
      </c>
      <c r="E88" s="211"/>
      <c r="F88" s="9">
        <v>1684.8</v>
      </c>
      <c r="G88" s="272">
        <f t="shared" si="3"/>
        <v>1</v>
      </c>
      <c r="I88" s="120"/>
    </row>
    <row r="89" spans="1:9" ht="15.6" hidden="1" x14ac:dyDescent="0.3">
      <c r="A89" s="14" t="s">
        <v>84</v>
      </c>
      <c r="B89" s="503" t="s">
        <v>118</v>
      </c>
      <c r="C89" s="7" t="s">
        <v>119</v>
      </c>
      <c r="D89" s="489" t="s">
        <v>1</v>
      </c>
      <c r="E89" s="211"/>
      <c r="F89" s="9">
        <v>0</v>
      </c>
      <c r="G89" s="272" t="str">
        <f t="shared" si="3"/>
        <v/>
      </c>
      <c r="I89" s="120"/>
    </row>
    <row r="90" spans="1:9" ht="15.6" hidden="1" x14ac:dyDescent="0.3">
      <c r="A90" s="14" t="s">
        <v>84</v>
      </c>
      <c r="B90" s="502"/>
      <c r="C90" s="7" t="s">
        <v>120</v>
      </c>
      <c r="D90" s="489">
        <v>45000</v>
      </c>
      <c r="E90" s="211"/>
      <c r="F90" s="9">
        <v>0</v>
      </c>
      <c r="G90" s="272">
        <f t="shared" si="3"/>
        <v>1</v>
      </c>
      <c r="I90" s="120"/>
    </row>
    <row r="91" spans="1:9" ht="15.6" hidden="1" x14ac:dyDescent="0.3">
      <c r="A91" s="14" t="s">
        <v>84</v>
      </c>
      <c r="B91" s="502" t="s">
        <v>121</v>
      </c>
      <c r="C91" s="7" t="s">
        <v>122</v>
      </c>
      <c r="D91" s="489">
        <v>0</v>
      </c>
      <c r="E91" s="211"/>
      <c r="F91" s="9"/>
      <c r="G91" s="272" t="str">
        <f t="shared" si="3"/>
        <v/>
      </c>
      <c r="I91" s="120"/>
    </row>
    <row r="92" spans="1:9" ht="15.6" hidden="1" x14ac:dyDescent="0.3">
      <c r="A92" s="14" t="s">
        <v>84</v>
      </c>
      <c r="B92" s="502" t="s">
        <v>121</v>
      </c>
      <c r="C92" s="7" t="s">
        <v>123</v>
      </c>
      <c r="D92" s="489">
        <v>0</v>
      </c>
      <c r="E92" s="211"/>
      <c r="F92" s="9"/>
      <c r="G92" s="272" t="str">
        <f t="shared" si="3"/>
        <v/>
      </c>
      <c r="I92" s="120"/>
    </row>
    <row r="93" spans="1:9" ht="15.6" hidden="1" x14ac:dyDescent="0.3">
      <c r="A93" s="14" t="s">
        <v>84</v>
      </c>
      <c r="B93" s="502"/>
      <c r="C93" s="7" t="s">
        <v>124</v>
      </c>
      <c r="D93" s="489">
        <v>0</v>
      </c>
      <c r="E93" s="211"/>
      <c r="F93" s="9">
        <v>298499.90000000002</v>
      </c>
      <c r="G93" s="272">
        <v>1</v>
      </c>
      <c r="H93" s="380" t="s">
        <v>586</v>
      </c>
      <c r="I93" s="120"/>
    </row>
    <row r="94" spans="1:9" ht="15.6" hidden="1" x14ac:dyDescent="0.3">
      <c r="A94" s="14" t="s">
        <v>84</v>
      </c>
      <c r="B94" s="502"/>
      <c r="C94" s="7" t="s">
        <v>125</v>
      </c>
      <c r="D94" s="489">
        <v>0</v>
      </c>
      <c r="E94" s="211"/>
      <c r="F94" s="9">
        <v>0</v>
      </c>
      <c r="G94" s="272" t="str">
        <f t="shared" si="3"/>
        <v/>
      </c>
      <c r="I94" s="120"/>
    </row>
    <row r="95" spans="1:9" ht="15.6" hidden="1" x14ac:dyDescent="0.3">
      <c r="A95" s="14" t="s">
        <v>84</v>
      </c>
      <c r="B95" s="502"/>
      <c r="C95" s="7" t="s">
        <v>126</v>
      </c>
      <c r="D95" s="489">
        <v>0</v>
      </c>
      <c r="E95" s="211"/>
      <c r="F95" s="9">
        <v>0</v>
      </c>
      <c r="G95" s="272" t="str">
        <f t="shared" si="3"/>
        <v/>
      </c>
      <c r="I95" s="120"/>
    </row>
    <row r="96" spans="1:9" ht="15.6" hidden="1" x14ac:dyDescent="0.3">
      <c r="A96" s="14" t="s">
        <v>84</v>
      </c>
      <c r="B96" s="503" t="s">
        <v>570</v>
      </c>
      <c r="C96" s="7" t="s">
        <v>571</v>
      </c>
      <c r="D96" s="489">
        <v>3200000</v>
      </c>
      <c r="E96" s="211"/>
      <c r="F96" s="515">
        <v>0</v>
      </c>
      <c r="G96" s="272">
        <f t="shared" si="3"/>
        <v>1</v>
      </c>
      <c r="I96" s="120"/>
    </row>
    <row r="97" spans="1:10" ht="15.6" hidden="1" x14ac:dyDescent="0.3">
      <c r="A97" s="14" t="s">
        <v>84</v>
      </c>
      <c r="B97" s="502" t="s">
        <v>127</v>
      </c>
      <c r="C97" s="7" t="s">
        <v>128</v>
      </c>
      <c r="D97" s="489">
        <v>50000</v>
      </c>
      <c r="E97" s="211"/>
      <c r="F97" s="9">
        <v>753693.5</v>
      </c>
      <c r="G97" s="272">
        <f t="shared" si="3"/>
        <v>1</v>
      </c>
      <c r="I97" s="120"/>
    </row>
    <row r="98" spans="1:10" ht="15.6" hidden="1" x14ac:dyDescent="0.3">
      <c r="A98" s="14" t="s">
        <v>84</v>
      </c>
      <c r="B98" s="502"/>
      <c r="C98" s="7" t="s">
        <v>129</v>
      </c>
      <c r="D98" s="489">
        <v>0</v>
      </c>
      <c r="E98" s="211"/>
      <c r="F98" s="9">
        <v>1639990.2</v>
      </c>
      <c r="G98" s="272">
        <v>1</v>
      </c>
      <c r="H98" s="380" t="s">
        <v>586</v>
      </c>
      <c r="I98" s="196">
        <f>SUBTOTAL(9,D58:D164)</f>
        <v>12234309.713333335</v>
      </c>
      <c r="J98" s="120">
        <v>377857.63</v>
      </c>
    </row>
    <row r="99" spans="1:10" ht="15.6" hidden="1" x14ac:dyDescent="0.3">
      <c r="A99" s="16" t="s">
        <v>84</v>
      </c>
      <c r="B99" s="502"/>
      <c r="C99" s="20" t="s">
        <v>572</v>
      </c>
      <c r="D99" s="498">
        <v>0</v>
      </c>
      <c r="F99" s="497"/>
      <c r="G99" s="272" t="s">
        <v>233</v>
      </c>
      <c r="I99" s="120"/>
    </row>
    <row r="100" spans="1:10" ht="34.5" hidden="1" customHeight="1" x14ac:dyDescent="0.3">
      <c r="A100" s="16"/>
      <c r="B100" s="502"/>
      <c r="C100" s="518" t="s">
        <v>130</v>
      </c>
      <c r="D100" s="498"/>
      <c r="F100" s="497">
        <v>0</v>
      </c>
      <c r="G100" s="272" t="s">
        <v>233</v>
      </c>
      <c r="I100" s="120"/>
    </row>
    <row r="101" spans="1:10" ht="15.6" hidden="1" x14ac:dyDescent="0.3">
      <c r="A101" s="14"/>
      <c r="B101" s="17"/>
      <c r="C101" s="21" t="s">
        <v>131</v>
      </c>
      <c r="E101" s="211"/>
      <c r="F101" s="9">
        <v>0</v>
      </c>
      <c r="G101" s="272" t="str">
        <f t="shared" si="3"/>
        <v/>
      </c>
      <c r="I101" s="120"/>
    </row>
    <row r="102" spans="1:10" ht="15.6" hidden="1" x14ac:dyDescent="0.3">
      <c r="A102" s="14" t="s">
        <v>58</v>
      </c>
      <c r="B102" s="17" t="s">
        <v>132</v>
      </c>
      <c r="C102" s="21" t="s">
        <v>133</v>
      </c>
      <c r="D102" s="489">
        <v>19274.64</v>
      </c>
      <c r="E102" s="211"/>
      <c r="F102" s="9">
        <v>16008</v>
      </c>
      <c r="G102" s="272">
        <f t="shared" si="3"/>
        <v>1</v>
      </c>
      <c r="I102" s="120"/>
    </row>
    <row r="103" spans="1:10" ht="15.6" hidden="1" x14ac:dyDescent="0.3">
      <c r="A103" s="16" t="s">
        <v>134</v>
      </c>
      <c r="B103" s="17" t="s">
        <v>135</v>
      </c>
      <c r="C103" s="20" t="s">
        <v>136</v>
      </c>
      <c r="D103" s="489">
        <v>0</v>
      </c>
      <c r="F103" s="497">
        <v>0</v>
      </c>
      <c r="G103" s="272" t="s">
        <v>233</v>
      </c>
      <c r="I103" s="120"/>
    </row>
    <row r="104" spans="1:10" ht="15.6" hidden="1" x14ac:dyDescent="0.3">
      <c r="A104" s="14"/>
      <c r="B104" s="17"/>
      <c r="C104" s="21" t="s">
        <v>137</v>
      </c>
      <c r="D104" s="489">
        <v>0</v>
      </c>
      <c r="E104" s="211"/>
      <c r="F104" s="9">
        <v>0</v>
      </c>
      <c r="G104" s="272" t="str">
        <f t="shared" si="3"/>
        <v/>
      </c>
      <c r="I104" s="120"/>
    </row>
    <row r="105" spans="1:10" ht="15.6" hidden="1" x14ac:dyDescent="0.3">
      <c r="A105" s="14" t="s">
        <v>134</v>
      </c>
      <c r="B105" s="17" t="s">
        <v>138</v>
      </c>
      <c r="C105" s="21" t="s">
        <v>139</v>
      </c>
      <c r="E105" s="211"/>
      <c r="F105" s="9"/>
      <c r="G105" s="272" t="str">
        <f t="shared" ref="G105:G164" si="4">IF(SUM(C105:D105)=0,"",1)</f>
        <v/>
      </c>
      <c r="I105" s="120"/>
    </row>
    <row r="106" spans="1:10" ht="15.6" hidden="1" x14ac:dyDescent="0.3">
      <c r="A106" s="14" t="s">
        <v>134</v>
      </c>
      <c r="B106" s="17" t="s">
        <v>140</v>
      </c>
      <c r="C106" s="21" t="s">
        <v>141</v>
      </c>
      <c r="D106" s="489">
        <v>0</v>
      </c>
      <c r="E106" s="211"/>
      <c r="F106" s="9"/>
      <c r="G106" s="272" t="str">
        <f t="shared" si="4"/>
        <v/>
      </c>
      <c r="I106" s="120"/>
    </row>
    <row r="107" spans="1:10" ht="28.5" hidden="1" customHeight="1" x14ac:dyDescent="0.3">
      <c r="A107" s="16" t="s">
        <v>58</v>
      </c>
      <c r="B107" s="17" t="s">
        <v>142</v>
      </c>
      <c r="C107" s="518" t="s">
        <v>143</v>
      </c>
      <c r="D107" s="498">
        <v>0</v>
      </c>
      <c r="F107" s="497"/>
      <c r="G107" s="272" t="s">
        <v>233</v>
      </c>
      <c r="I107" s="120"/>
    </row>
    <row r="108" spans="1:10" ht="27" hidden="1" customHeight="1" x14ac:dyDescent="0.3">
      <c r="A108" s="14"/>
      <c r="B108" s="17"/>
      <c r="C108" s="518" t="s">
        <v>144</v>
      </c>
      <c r="E108" s="211"/>
      <c r="F108" s="9"/>
      <c r="G108" s="272" t="str">
        <f t="shared" si="4"/>
        <v/>
      </c>
      <c r="I108" s="120"/>
    </row>
    <row r="109" spans="1:10" ht="27" hidden="1" customHeight="1" x14ac:dyDescent="0.3">
      <c r="A109" s="14" t="s">
        <v>134</v>
      </c>
      <c r="B109" s="17" t="s">
        <v>145</v>
      </c>
      <c r="C109" s="518" t="s">
        <v>146</v>
      </c>
      <c r="D109" s="489">
        <v>0</v>
      </c>
      <c r="E109" s="211"/>
      <c r="F109" s="9">
        <v>25650.25</v>
      </c>
      <c r="G109" s="272">
        <v>1</v>
      </c>
      <c r="I109" s="120"/>
    </row>
    <row r="110" spans="1:10" ht="15.6" hidden="1" x14ac:dyDescent="0.3">
      <c r="A110" s="14" t="s">
        <v>134</v>
      </c>
      <c r="B110" s="17" t="s">
        <v>147</v>
      </c>
      <c r="C110" s="21" t="s">
        <v>148</v>
      </c>
      <c r="D110" s="489">
        <v>23458.400000000001</v>
      </c>
      <c r="E110" s="211"/>
      <c r="F110" s="9">
        <v>25193</v>
      </c>
      <c r="G110" s="272">
        <f t="shared" si="4"/>
        <v>1</v>
      </c>
      <c r="I110" s="120"/>
    </row>
    <row r="111" spans="1:10" ht="15.6" hidden="1" x14ac:dyDescent="0.3">
      <c r="A111" s="14" t="s">
        <v>134</v>
      </c>
      <c r="B111" s="17" t="s">
        <v>149</v>
      </c>
      <c r="C111" s="21" t="s">
        <v>150</v>
      </c>
      <c r="D111" s="489">
        <v>1893.9</v>
      </c>
      <c r="E111" s="211"/>
      <c r="F111" s="9">
        <v>4524.12</v>
      </c>
      <c r="G111" s="272">
        <f t="shared" si="4"/>
        <v>1</v>
      </c>
      <c r="I111" s="120"/>
    </row>
    <row r="112" spans="1:10" ht="15.6" hidden="1" x14ac:dyDescent="0.3">
      <c r="A112" s="14" t="s">
        <v>58</v>
      </c>
      <c r="B112" s="17" t="s">
        <v>151</v>
      </c>
      <c r="C112" s="21" t="s">
        <v>152</v>
      </c>
      <c r="D112" s="489">
        <v>0</v>
      </c>
      <c r="E112" s="211"/>
      <c r="F112" s="9">
        <v>6432.4</v>
      </c>
      <c r="G112" s="272">
        <v>1</v>
      </c>
      <c r="I112" s="120"/>
    </row>
    <row r="113" spans="1:9" ht="26.25" hidden="1" customHeight="1" x14ac:dyDescent="0.3">
      <c r="A113" s="16"/>
      <c r="B113" s="17"/>
      <c r="C113" s="518" t="s">
        <v>153</v>
      </c>
      <c r="F113" s="497"/>
      <c r="G113" s="272" t="s">
        <v>233</v>
      </c>
      <c r="I113" s="120"/>
    </row>
    <row r="114" spans="1:9" ht="15.6" hidden="1" x14ac:dyDescent="0.3">
      <c r="A114" s="14" t="s">
        <v>134</v>
      </c>
      <c r="B114" s="17" t="s">
        <v>154</v>
      </c>
      <c r="C114" s="21" t="s">
        <v>155</v>
      </c>
      <c r="E114" s="211"/>
      <c r="F114" s="9"/>
      <c r="G114" s="272" t="str">
        <f t="shared" si="4"/>
        <v/>
      </c>
      <c r="I114" s="120"/>
    </row>
    <row r="115" spans="1:9" ht="15.6" hidden="1" x14ac:dyDescent="0.3">
      <c r="A115" s="14" t="s">
        <v>134</v>
      </c>
      <c r="B115" s="17" t="e">
        <v>#N/A</v>
      </c>
      <c r="C115" s="21" t="s">
        <v>156</v>
      </c>
      <c r="D115" s="489">
        <v>0</v>
      </c>
      <c r="E115" s="211"/>
      <c r="F115" s="9">
        <v>7700</v>
      </c>
      <c r="G115" s="272">
        <v>1</v>
      </c>
      <c r="I115" s="120"/>
    </row>
    <row r="116" spans="1:9" ht="15.6" hidden="1" x14ac:dyDescent="0.3">
      <c r="A116" s="14" t="s">
        <v>134</v>
      </c>
      <c r="B116" s="17" t="s">
        <v>157</v>
      </c>
      <c r="C116" s="21" t="s">
        <v>158</v>
      </c>
      <c r="D116" s="489">
        <v>103644.66</v>
      </c>
      <c r="E116" s="211"/>
      <c r="F116" s="9">
        <v>75992</v>
      </c>
      <c r="G116" s="272">
        <f t="shared" si="4"/>
        <v>1</v>
      </c>
      <c r="I116" s="120"/>
    </row>
    <row r="117" spans="1:9" ht="15.6" hidden="1" x14ac:dyDescent="0.3">
      <c r="A117" s="14" t="s">
        <v>134</v>
      </c>
      <c r="B117" s="17" t="s">
        <v>159</v>
      </c>
      <c r="C117" s="21" t="s">
        <v>160</v>
      </c>
      <c r="D117" s="489">
        <v>0</v>
      </c>
      <c r="E117" s="211"/>
      <c r="F117" s="9">
        <v>0</v>
      </c>
      <c r="G117" s="272" t="str">
        <f t="shared" si="4"/>
        <v/>
      </c>
      <c r="I117" s="120"/>
    </row>
    <row r="118" spans="1:9" ht="15.6" hidden="1" x14ac:dyDescent="0.3">
      <c r="A118" s="14" t="s">
        <v>134</v>
      </c>
      <c r="B118" s="17" t="s">
        <v>161</v>
      </c>
      <c r="C118" s="21" t="s">
        <v>162</v>
      </c>
      <c r="D118" s="489">
        <v>0</v>
      </c>
      <c r="E118" s="211"/>
      <c r="F118" s="9">
        <v>0</v>
      </c>
      <c r="G118" s="272" t="str">
        <f t="shared" si="4"/>
        <v/>
      </c>
      <c r="I118" s="120"/>
    </row>
    <row r="119" spans="1:9" ht="30" hidden="1" customHeight="1" x14ac:dyDescent="0.3">
      <c r="A119" s="16"/>
      <c r="B119" s="17"/>
      <c r="C119" s="518" t="s">
        <v>163</v>
      </c>
      <c r="F119" s="497"/>
      <c r="G119" s="272" t="s">
        <v>233</v>
      </c>
      <c r="I119" s="120"/>
    </row>
    <row r="120" spans="1:9" ht="15.6" hidden="1" x14ac:dyDescent="0.3">
      <c r="A120" s="14" t="s">
        <v>134</v>
      </c>
      <c r="B120" s="17" t="s">
        <v>164</v>
      </c>
      <c r="C120" s="21" t="s">
        <v>165</v>
      </c>
      <c r="D120" s="489">
        <v>0</v>
      </c>
      <c r="E120" s="211"/>
      <c r="F120" s="9"/>
      <c r="G120" s="272" t="str">
        <f t="shared" si="4"/>
        <v/>
      </c>
      <c r="I120" s="120"/>
    </row>
    <row r="121" spans="1:9" ht="15.6" hidden="1" x14ac:dyDescent="0.3">
      <c r="A121" s="14" t="s">
        <v>134</v>
      </c>
      <c r="B121" s="17" t="s">
        <v>166</v>
      </c>
      <c r="C121" s="21" t="s">
        <v>167</v>
      </c>
      <c r="D121" s="489">
        <v>0</v>
      </c>
      <c r="E121" s="211"/>
      <c r="F121" s="9"/>
      <c r="G121" s="272" t="str">
        <f t="shared" si="4"/>
        <v/>
      </c>
      <c r="I121" s="120"/>
    </row>
    <row r="122" spans="1:9" ht="15.6" hidden="1" x14ac:dyDescent="0.3">
      <c r="A122" s="14" t="s">
        <v>134</v>
      </c>
      <c r="B122" s="17" t="s">
        <v>168</v>
      </c>
      <c r="C122" s="21" t="s">
        <v>169</v>
      </c>
      <c r="E122" s="211"/>
      <c r="F122" s="9">
        <v>0</v>
      </c>
      <c r="G122" s="272" t="str">
        <f t="shared" si="4"/>
        <v/>
      </c>
      <c r="I122" s="120"/>
    </row>
    <row r="123" spans="1:9" ht="15.6" hidden="1" x14ac:dyDescent="0.3">
      <c r="A123" s="14" t="s">
        <v>134</v>
      </c>
      <c r="B123" s="17" t="s">
        <v>170</v>
      </c>
      <c r="C123" s="21" t="s">
        <v>171</v>
      </c>
      <c r="E123" s="211"/>
      <c r="F123" s="9"/>
      <c r="G123" s="272" t="str">
        <f t="shared" si="4"/>
        <v/>
      </c>
      <c r="I123" s="120"/>
    </row>
    <row r="124" spans="1:9" ht="15.6" hidden="1" x14ac:dyDescent="0.3">
      <c r="A124" s="14" t="s">
        <v>134</v>
      </c>
      <c r="B124" s="17" t="s">
        <v>172</v>
      </c>
      <c r="C124" s="21" t="s">
        <v>173</v>
      </c>
      <c r="E124" s="211"/>
      <c r="F124" s="9">
        <v>0</v>
      </c>
      <c r="G124" s="272" t="str">
        <f t="shared" si="4"/>
        <v/>
      </c>
      <c r="I124" s="120"/>
    </row>
    <row r="125" spans="1:9" ht="15.6" hidden="1" x14ac:dyDescent="0.3">
      <c r="A125" s="14" t="s">
        <v>134</v>
      </c>
      <c r="B125" s="17" t="e">
        <v>#N/A</v>
      </c>
      <c r="C125" s="21" t="s">
        <v>174</v>
      </c>
      <c r="D125" s="489">
        <v>0</v>
      </c>
      <c r="E125" s="211"/>
      <c r="F125" s="9"/>
      <c r="G125" s="272" t="str">
        <f t="shared" si="4"/>
        <v/>
      </c>
      <c r="I125" s="120"/>
    </row>
    <row r="126" spans="1:9" ht="15.6" hidden="1" x14ac:dyDescent="0.3">
      <c r="A126" s="14" t="s">
        <v>134</v>
      </c>
      <c r="B126" s="17" t="e">
        <v>#N/A</v>
      </c>
      <c r="C126" s="21" t="s">
        <v>175</v>
      </c>
      <c r="E126" s="211"/>
      <c r="F126" s="9"/>
      <c r="G126" s="272" t="str">
        <f t="shared" si="4"/>
        <v/>
      </c>
      <c r="I126" s="120"/>
    </row>
    <row r="127" spans="1:9" ht="15.6" hidden="1" x14ac:dyDescent="0.3">
      <c r="A127" s="14" t="s">
        <v>134</v>
      </c>
      <c r="B127" s="17" t="s">
        <v>176</v>
      </c>
      <c r="C127" s="21" t="s">
        <v>177</v>
      </c>
      <c r="D127" s="489">
        <v>0</v>
      </c>
      <c r="E127" s="211"/>
      <c r="F127" s="9"/>
      <c r="G127" s="272" t="str">
        <f t="shared" si="4"/>
        <v/>
      </c>
      <c r="I127" s="120"/>
    </row>
    <row r="128" spans="1:9" ht="15.6" hidden="1" x14ac:dyDescent="0.3">
      <c r="A128" s="14" t="s">
        <v>134</v>
      </c>
      <c r="B128" s="17" t="e">
        <v>#N/A</v>
      </c>
      <c r="C128" s="21" t="s">
        <v>178</v>
      </c>
      <c r="E128" s="211"/>
      <c r="F128" s="9"/>
      <c r="G128" s="272" t="str">
        <f t="shared" si="4"/>
        <v/>
      </c>
      <c r="I128" s="120"/>
    </row>
    <row r="129" spans="1:9" ht="30" hidden="1" customHeight="1" x14ac:dyDescent="0.3">
      <c r="A129" s="16"/>
      <c r="B129" s="17"/>
      <c r="C129" s="518" t="s">
        <v>179</v>
      </c>
      <c r="F129" s="497"/>
      <c r="G129" s="272" t="s">
        <v>233</v>
      </c>
      <c r="I129" s="120"/>
    </row>
    <row r="130" spans="1:9" ht="15.6" hidden="1" x14ac:dyDescent="0.3">
      <c r="A130" s="14" t="s">
        <v>134</v>
      </c>
      <c r="B130" s="17" t="s">
        <v>180</v>
      </c>
      <c r="C130" s="21" t="s">
        <v>181</v>
      </c>
      <c r="D130" s="489">
        <v>120000</v>
      </c>
      <c r="E130" s="211"/>
      <c r="F130" s="9">
        <v>259000</v>
      </c>
      <c r="G130" s="272">
        <f t="shared" si="4"/>
        <v>1</v>
      </c>
      <c r="I130" s="120"/>
    </row>
    <row r="131" spans="1:9" ht="15.6" hidden="1" x14ac:dyDescent="0.3">
      <c r="A131" s="14" t="s">
        <v>134</v>
      </c>
      <c r="B131" s="17" t="s">
        <v>182</v>
      </c>
      <c r="C131" s="21" t="s">
        <v>183</v>
      </c>
      <c r="D131" s="489">
        <v>133000</v>
      </c>
      <c r="E131" s="211"/>
      <c r="F131" s="9">
        <v>500000</v>
      </c>
      <c r="G131" s="272">
        <f t="shared" si="4"/>
        <v>1</v>
      </c>
      <c r="I131" s="120"/>
    </row>
    <row r="132" spans="1:9" ht="15.6" hidden="1" x14ac:dyDescent="0.3">
      <c r="A132" s="14" t="s">
        <v>134</v>
      </c>
      <c r="B132" s="17" t="e">
        <v>#N/A</v>
      </c>
      <c r="C132" s="21" t="s">
        <v>184</v>
      </c>
      <c r="D132" s="489">
        <v>0</v>
      </c>
      <c r="E132" s="211"/>
      <c r="F132" s="9">
        <v>0</v>
      </c>
      <c r="G132" s="272" t="str">
        <f t="shared" si="4"/>
        <v/>
      </c>
      <c r="I132" s="120"/>
    </row>
    <row r="133" spans="1:9" ht="15.6" hidden="1" x14ac:dyDescent="0.3">
      <c r="A133" s="14" t="s">
        <v>134</v>
      </c>
      <c r="B133" s="17" t="s">
        <v>185</v>
      </c>
      <c r="C133" s="21" t="s">
        <v>186</v>
      </c>
      <c r="E133" s="211"/>
      <c r="F133" s="9"/>
      <c r="G133" s="272" t="str">
        <f t="shared" si="4"/>
        <v/>
      </c>
      <c r="I133" s="120"/>
    </row>
    <row r="134" spans="1:9" ht="15.6" hidden="1" x14ac:dyDescent="0.3">
      <c r="A134" s="14" t="s">
        <v>134</v>
      </c>
      <c r="B134" s="17" t="s">
        <v>187</v>
      </c>
      <c r="C134" s="21" t="s">
        <v>188</v>
      </c>
      <c r="E134" s="211"/>
      <c r="F134" s="9"/>
      <c r="G134" s="272" t="str">
        <f t="shared" si="4"/>
        <v/>
      </c>
      <c r="I134" s="120"/>
    </row>
    <row r="135" spans="1:9" ht="15.6" hidden="1" x14ac:dyDescent="0.3">
      <c r="A135" s="14" t="s">
        <v>134</v>
      </c>
      <c r="B135" s="17" t="s">
        <v>189</v>
      </c>
      <c r="C135" s="21" t="s">
        <v>190</v>
      </c>
      <c r="D135" s="489">
        <v>0</v>
      </c>
      <c r="E135" s="211"/>
      <c r="F135" s="9"/>
      <c r="G135" s="272" t="str">
        <f t="shared" si="4"/>
        <v/>
      </c>
      <c r="I135" s="120"/>
    </row>
    <row r="136" spans="1:9" ht="15.6" hidden="1" x14ac:dyDescent="0.3">
      <c r="A136" s="14" t="s">
        <v>134</v>
      </c>
      <c r="B136" s="17" t="s">
        <v>573</v>
      </c>
      <c r="C136" s="21" t="s">
        <v>574</v>
      </c>
      <c r="D136" s="489">
        <v>346.92</v>
      </c>
      <c r="E136" s="211"/>
      <c r="F136" s="9"/>
      <c r="G136" s="272">
        <v>1</v>
      </c>
      <c r="I136" s="120"/>
    </row>
    <row r="137" spans="1:9" ht="15.6" hidden="1" x14ac:dyDescent="0.3">
      <c r="A137" s="16"/>
      <c r="B137" s="17"/>
      <c r="C137" s="20" t="s">
        <v>191</v>
      </c>
      <c r="D137" s="493"/>
      <c r="F137" s="497"/>
      <c r="G137" s="272" t="s">
        <v>233</v>
      </c>
      <c r="I137" s="120"/>
    </row>
    <row r="138" spans="1:9" ht="15.6" hidden="1" x14ac:dyDescent="0.3">
      <c r="A138" s="14" t="s">
        <v>134</v>
      </c>
      <c r="B138" s="17" t="s">
        <v>192</v>
      </c>
      <c r="C138" s="21" t="s">
        <v>193</v>
      </c>
      <c r="D138" s="489">
        <v>17248.16</v>
      </c>
      <c r="E138" s="211"/>
      <c r="F138" s="9">
        <v>8182.12</v>
      </c>
      <c r="G138" s="272">
        <f t="shared" si="4"/>
        <v>1</v>
      </c>
      <c r="I138" s="120"/>
    </row>
    <row r="139" spans="1:9" ht="15.6" hidden="1" x14ac:dyDescent="0.3">
      <c r="A139" s="14" t="s">
        <v>134</v>
      </c>
      <c r="B139" s="17" t="s">
        <v>194</v>
      </c>
      <c r="C139" s="21" t="s">
        <v>195</v>
      </c>
      <c r="D139" s="489">
        <v>147042.47</v>
      </c>
      <c r="E139" s="211"/>
      <c r="F139" s="9">
        <v>152971.02000000002</v>
      </c>
      <c r="G139" s="272">
        <f t="shared" si="4"/>
        <v>1</v>
      </c>
      <c r="I139" s="120"/>
    </row>
    <row r="140" spans="1:9" ht="15.6" hidden="1" x14ac:dyDescent="0.3">
      <c r="A140" s="14" t="s">
        <v>134</v>
      </c>
      <c r="B140" s="17" t="s">
        <v>196</v>
      </c>
      <c r="C140" s="21" t="s">
        <v>197</v>
      </c>
      <c r="E140" s="211"/>
      <c r="F140" s="9"/>
      <c r="G140" s="272" t="str">
        <f t="shared" si="4"/>
        <v/>
      </c>
      <c r="I140" s="120"/>
    </row>
    <row r="141" spans="1:9" hidden="1" x14ac:dyDescent="0.3">
      <c r="A141" s="14" t="s">
        <v>134</v>
      </c>
      <c r="B141" s="17"/>
      <c r="C141" s="21" t="s">
        <v>198</v>
      </c>
      <c r="D141" s="489">
        <v>0</v>
      </c>
      <c r="E141" s="211"/>
      <c r="F141" s="9"/>
      <c r="G141" s="272" t="str">
        <f t="shared" si="4"/>
        <v/>
      </c>
      <c r="I141" s="281" t="s">
        <v>233</v>
      </c>
    </row>
    <row r="142" spans="1:9" ht="15.6" hidden="1" x14ac:dyDescent="0.3">
      <c r="A142" s="14" t="s">
        <v>134</v>
      </c>
      <c r="B142" s="17" t="s">
        <v>199</v>
      </c>
      <c r="C142" s="21" t="s">
        <v>198</v>
      </c>
      <c r="D142" s="489">
        <v>0</v>
      </c>
      <c r="E142" s="211"/>
      <c r="F142" s="9"/>
      <c r="G142" s="272" t="str">
        <f t="shared" si="4"/>
        <v/>
      </c>
      <c r="I142" s="120"/>
    </row>
    <row r="143" spans="1:9" ht="15.6" hidden="1" x14ac:dyDescent="0.3">
      <c r="A143" s="14" t="s">
        <v>134</v>
      </c>
      <c r="B143" s="17" t="s">
        <v>211</v>
      </c>
      <c r="C143" s="21" t="s">
        <v>212</v>
      </c>
      <c r="D143" s="489">
        <v>16541.240000000002</v>
      </c>
      <c r="E143" s="211"/>
      <c r="F143" s="9"/>
      <c r="G143" s="272">
        <v>1</v>
      </c>
      <c r="I143" s="120"/>
    </row>
    <row r="144" spans="1:9" ht="15.6" hidden="1" x14ac:dyDescent="0.3">
      <c r="A144" s="14" t="s">
        <v>134</v>
      </c>
      <c r="B144" s="17" t="s">
        <v>200</v>
      </c>
      <c r="C144" s="21" t="s">
        <v>201</v>
      </c>
      <c r="D144" s="489">
        <v>39000</v>
      </c>
      <c r="E144" s="211"/>
      <c r="F144" s="9">
        <v>27730</v>
      </c>
      <c r="G144" s="272">
        <f t="shared" si="4"/>
        <v>1</v>
      </c>
      <c r="I144" s="120"/>
    </row>
    <row r="145" spans="1:9" ht="15.6" hidden="1" x14ac:dyDescent="0.3">
      <c r="A145" s="14" t="s">
        <v>134</v>
      </c>
      <c r="B145" s="17" t="s">
        <v>202</v>
      </c>
      <c r="C145" s="21" t="s">
        <v>203</v>
      </c>
      <c r="E145" s="211"/>
      <c r="F145" s="9"/>
      <c r="G145" s="272" t="str">
        <f t="shared" si="4"/>
        <v/>
      </c>
      <c r="I145" s="120"/>
    </row>
    <row r="146" spans="1:9" ht="15.6" hidden="1" x14ac:dyDescent="0.3">
      <c r="A146" s="14" t="s">
        <v>134</v>
      </c>
      <c r="B146" s="17" t="s">
        <v>204</v>
      </c>
      <c r="C146" s="21" t="s">
        <v>575</v>
      </c>
      <c r="D146" s="489">
        <v>52982</v>
      </c>
      <c r="E146" s="211"/>
      <c r="F146" s="9"/>
      <c r="G146" s="272">
        <f t="shared" si="4"/>
        <v>1</v>
      </c>
      <c r="I146" s="120"/>
    </row>
    <row r="147" spans="1:9" ht="15.6" hidden="1" x14ac:dyDescent="0.3">
      <c r="A147" s="14" t="s">
        <v>134</v>
      </c>
      <c r="B147" s="17" t="s">
        <v>576</v>
      </c>
      <c r="C147" s="21" t="s">
        <v>577</v>
      </c>
      <c r="D147" s="489">
        <v>29795</v>
      </c>
      <c r="E147" s="211"/>
      <c r="F147" s="9"/>
      <c r="G147" s="272">
        <v>1</v>
      </c>
      <c r="I147" s="120"/>
    </row>
    <row r="148" spans="1:9" ht="15.6" hidden="1" x14ac:dyDescent="0.3">
      <c r="A148" s="14" t="s">
        <v>134</v>
      </c>
      <c r="B148" s="17" t="s">
        <v>205</v>
      </c>
      <c r="C148" s="21" t="s">
        <v>206</v>
      </c>
      <c r="E148" s="211"/>
      <c r="F148" s="9">
        <v>0</v>
      </c>
      <c r="G148" s="272" t="str">
        <f t="shared" si="4"/>
        <v/>
      </c>
      <c r="I148" s="120"/>
    </row>
    <row r="149" spans="1:9" ht="15.6" hidden="1" x14ac:dyDescent="0.3">
      <c r="A149" s="14" t="s">
        <v>58</v>
      </c>
      <c r="B149" s="17" t="s">
        <v>207</v>
      </c>
      <c r="C149" s="21" t="s">
        <v>208</v>
      </c>
      <c r="E149" s="211"/>
      <c r="F149" s="9"/>
      <c r="G149" s="272" t="str">
        <f t="shared" si="4"/>
        <v/>
      </c>
      <c r="I149" s="120"/>
    </row>
    <row r="150" spans="1:9" ht="15.6" hidden="1" x14ac:dyDescent="0.3">
      <c r="A150" s="16"/>
      <c r="B150" s="502"/>
      <c r="C150" s="516"/>
      <c r="D150" s="498"/>
      <c r="F150" s="497"/>
      <c r="G150" s="272" t="str">
        <f t="shared" si="4"/>
        <v/>
      </c>
      <c r="I150" s="120"/>
    </row>
    <row r="151" spans="1:9" ht="15.6" hidden="1" x14ac:dyDescent="0.3">
      <c r="A151" s="14" t="s">
        <v>134</v>
      </c>
      <c r="B151" s="504" t="s">
        <v>209</v>
      </c>
      <c r="C151" s="21" t="s">
        <v>210</v>
      </c>
      <c r="E151" s="211"/>
      <c r="F151" s="9"/>
      <c r="G151" s="272" t="str">
        <f t="shared" si="4"/>
        <v/>
      </c>
      <c r="I151" s="120"/>
    </row>
    <row r="152" spans="1:9" ht="15.6" hidden="1" x14ac:dyDescent="0.3">
      <c r="A152" s="14"/>
      <c r="B152" s="504"/>
      <c r="C152" s="21"/>
      <c r="E152" s="211"/>
      <c r="F152" s="9"/>
      <c r="G152" s="272" t="str">
        <f t="shared" si="4"/>
        <v/>
      </c>
      <c r="I152" s="120"/>
    </row>
    <row r="153" spans="1:9" ht="15.6" hidden="1" x14ac:dyDescent="0.3">
      <c r="A153" s="16"/>
      <c r="B153" s="505"/>
      <c r="C153" s="516"/>
      <c r="D153" s="498"/>
      <c r="F153" s="497"/>
      <c r="G153" s="272" t="str">
        <f t="shared" si="4"/>
        <v/>
      </c>
      <c r="I153" s="120"/>
    </row>
    <row r="154" spans="1:9" ht="15.6" hidden="1" x14ac:dyDescent="0.3">
      <c r="A154" s="14" t="s">
        <v>84</v>
      </c>
      <c r="B154" s="502"/>
      <c r="C154" s="7" t="s">
        <v>213</v>
      </c>
      <c r="D154" s="489">
        <v>987109.04</v>
      </c>
      <c r="E154" s="211"/>
      <c r="F154" s="9">
        <v>979085.43</v>
      </c>
      <c r="G154" s="272">
        <f t="shared" si="4"/>
        <v>1</v>
      </c>
      <c r="I154" s="120">
        <f>-D154</f>
        <v>-987109.04</v>
      </c>
    </row>
    <row r="155" spans="1:9" ht="15.6" hidden="1" x14ac:dyDescent="0.3">
      <c r="A155" s="16"/>
      <c r="B155" s="502"/>
      <c r="C155" s="20" t="s">
        <v>214</v>
      </c>
      <c r="D155" s="498"/>
      <c r="F155" s="497"/>
      <c r="G155" s="272" t="s">
        <v>233</v>
      </c>
      <c r="I155" s="120"/>
    </row>
    <row r="156" spans="1:9" ht="15.6" hidden="1" x14ac:dyDescent="0.3">
      <c r="A156" s="14" t="s">
        <v>215</v>
      </c>
      <c r="B156" s="503" t="s">
        <v>216</v>
      </c>
      <c r="C156" s="7" t="s">
        <v>217</v>
      </c>
      <c r="E156" s="211"/>
      <c r="F156" s="9">
        <v>0</v>
      </c>
      <c r="G156" s="272" t="str">
        <f t="shared" si="4"/>
        <v/>
      </c>
      <c r="I156" s="120"/>
    </row>
    <row r="157" spans="1:9" ht="15.6" hidden="1" x14ac:dyDescent="0.3">
      <c r="A157" s="14" t="s">
        <v>58</v>
      </c>
      <c r="B157" s="506" t="s">
        <v>218</v>
      </c>
      <c r="C157" s="7" t="s">
        <v>219</v>
      </c>
      <c r="E157" s="211"/>
      <c r="F157" s="9">
        <v>18930</v>
      </c>
      <c r="G157" s="272">
        <v>1</v>
      </c>
      <c r="I157" s="120"/>
    </row>
    <row r="158" spans="1:9" ht="15.6" hidden="1" x14ac:dyDescent="0.3">
      <c r="A158" s="14" t="s">
        <v>58</v>
      </c>
      <c r="B158" s="506" t="s">
        <v>220</v>
      </c>
      <c r="C158" s="7" t="s">
        <v>221</v>
      </c>
      <c r="D158" s="489">
        <v>0</v>
      </c>
      <c r="E158" s="211"/>
      <c r="F158" s="9">
        <v>0</v>
      </c>
      <c r="G158" s="272" t="str">
        <f t="shared" si="4"/>
        <v/>
      </c>
      <c r="I158" s="120"/>
    </row>
    <row r="159" spans="1:9" ht="15.6" hidden="1" x14ac:dyDescent="0.3">
      <c r="A159" s="14" t="s">
        <v>215</v>
      </c>
      <c r="B159" s="503" t="s">
        <v>222</v>
      </c>
      <c r="C159" s="7" t="s">
        <v>223</v>
      </c>
      <c r="D159" s="489">
        <v>0</v>
      </c>
      <c r="E159" s="211"/>
      <c r="F159" s="9">
        <v>0</v>
      </c>
      <c r="G159" s="272" t="str">
        <f t="shared" si="4"/>
        <v/>
      </c>
      <c r="I159" s="120"/>
    </row>
    <row r="160" spans="1:9" ht="15.6" hidden="1" x14ac:dyDescent="0.3">
      <c r="A160" s="14" t="s">
        <v>215</v>
      </c>
      <c r="B160" s="584">
        <v>249101</v>
      </c>
      <c r="C160" s="577" t="s">
        <v>580</v>
      </c>
      <c r="D160" s="489">
        <v>240000</v>
      </c>
      <c r="E160" s="211"/>
      <c r="F160" s="9"/>
      <c r="G160" s="272">
        <v>1</v>
      </c>
      <c r="I160" s="120"/>
    </row>
    <row r="161" spans="1:9" ht="15.6" x14ac:dyDescent="0.3">
      <c r="A161" s="14" t="s">
        <v>224</v>
      </c>
      <c r="B161" s="507"/>
      <c r="C161" s="7" t="s">
        <v>225</v>
      </c>
      <c r="D161" s="513">
        <f>+Datos!O116</f>
        <v>1240404.5799999991</v>
      </c>
      <c r="E161" s="211"/>
      <c r="F161" s="9">
        <v>1181799.3000000005</v>
      </c>
      <c r="G161" s="272">
        <f t="shared" si="4"/>
        <v>1</v>
      </c>
      <c r="I161" s="120"/>
    </row>
    <row r="162" spans="1:9" x14ac:dyDescent="0.3">
      <c r="A162" s="14" t="s">
        <v>224</v>
      </c>
      <c r="B162" s="507"/>
      <c r="C162" s="7" t="s">
        <v>226</v>
      </c>
      <c r="D162" s="513">
        <f>+Datos!G205+Datos!G227</f>
        <v>719364.16333333333</v>
      </c>
      <c r="E162" s="211"/>
      <c r="F162" s="9">
        <v>282502.08333333331</v>
      </c>
      <c r="G162" s="272">
        <f t="shared" si="4"/>
        <v>1</v>
      </c>
    </row>
    <row r="163" spans="1:9" x14ac:dyDescent="0.3">
      <c r="A163" s="14" t="s">
        <v>458</v>
      </c>
      <c r="B163" s="507"/>
      <c r="C163" s="7" t="s">
        <v>4</v>
      </c>
      <c r="D163" s="513"/>
      <c r="E163" s="211"/>
      <c r="F163" s="9"/>
      <c r="G163" s="272" t="str">
        <f t="shared" si="4"/>
        <v/>
      </c>
    </row>
    <row r="164" spans="1:9" ht="24" customHeight="1" x14ac:dyDescent="0.3">
      <c r="A164" s="14" t="s">
        <v>84</v>
      </c>
      <c r="B164" s="502"/>
      <c r="C164" s="7" t="s">
        <v>227</v>
      </c>
      <c r="D164" s="514"/>
      <c r="E164" s="211"/>
      <c r="F164" s="9"/>
      <c r="G164" s="272" t="str">
        <f t="shared" si="4"/>
        <v/>
      </c>
      <c r="I164" s="196"/>
    </row>
    <row r="165" spans="1:9" x14ac:dyDescent="0.3">
      <c r="A165" s="14"/>
      <c r="B165" s="502"/>
      <c r="C165" s="18"/>
      <c r="E165" s="211" t="str">
        <f>IF(SUM(A165:D165)=0,"",1)</f>
        <v/>
      </c>
      <c r="F165" s="9"/>
      <c r="G165" s="284" t="str">
        <f t="shared" ref="G165" si="5">IF(SUM(D165:F165)=0,"",1)</f>
        <v/>
      </c>
    </row>
    <row r="166" spans="1:9" ht="15" thickBot="1" x14ac:dyDescent="0.35">
      <c r="A166" s="16"/>
      <c r="B166" s="502"/>
      <c r="C166" s="20" t="s">
        <v>228</v>
      </c>
      <c r="D166" s="517">
        <f>SUM(D33:D164)</f>
        <v>535730.67333333869</v>
      </c>
      <c r="F166" s="517">
        <f>SUM(F33:F164)</f>
        <v>-3580831.0166666587</v>
      </c>
      <c r="G166" s="281" t="s">
        <v>233</v>
      </c>
    </row>
    <row r="167" spans="1:9" ht="15" thickTop="1" x14ac:dyDescent="0.3">
      <c r="F167" s="9"/>
      <c r="G167" s="281" t="s">
        <v>233</v>
      </c>
    </row>
    <row r="168" spans="1:9" x14ac:dyDescent="0.3">
      <c r="F168" s="9"/>
      <c r="G168" s="281" t="s">
        <v>233</v>
      </c>
    </row>
    <row r="169" spans="1:9" x14ac:dyDescent="0.3">
      <c r="C169" s="6" t="s">
        <v>1</v>
      </c>
      <c r="F169" s="9"/>
    </row>
    <row r="170" spans="1:9" x14ac:dyDescent="0.3">
      <c r="C170" s="22" t="s">
        <v>19</v>
      </c>
      <c r="D170" s="492" t="e">
        <f>+SUBTOTAL(9,D12:D164)</f>
        <v>#REF!</v>
      </c>
      <c r="F170" s="500"/>
      <c r="G170" s="281" t="s">
        <v>233</v>
      </c>
    </row>
    <row r="171" spans="1:9" x14ac:dyDescent="0.3">
      <c r="C171" s="22"/>
      <c r="F171" s="9"/>
      <c r="G171" s="281" t="s">
        <v>233</v>
      </c>
    </row>
    <row r="172" spans="1:9" x14ac:dyDescent="0.3">
      <c r="C172" s="22"/>
      <c r="F172" s="9"/>
      <c r="G172" s="281" t="s">
        <v>233</v>
      </c>
    </row>
    <row r="173" spans="1:9" x14ac:dyDescent="0.3">
      <c r="C173" s="22"/>
      <c r="F173" s="9"/>
      <c r="I173" s="196"/>
    </row>
    <row r="174" spans="1:9" x14ac:dyDescent="0.3">
      <c r="C174" s="22"/>
      <c r="D174" s="519" t="e">
        <f>+SUBTOTAL(9,D12:D164)</f>
        <v>#REF!</v>
      </c>
      <c r="F174" s="9"/>
      <c r="G174" s="281" t="s">
        <v>233</v>
      </c>
      <c r="I174" s="196"/>
    </row>
    <row r="175" spans="1:9" x14ac:dyDescent="0.3">
      <c r="C175" s="22"/>
      <c r="F175" s="9"/>
      <c r="I175" s="197"/>
    </row>
    <row r="176" spans="1:9" x14ac:dyDescent="0.3">
      <c r="C176" s="22"/>
      <c r="F176" s="9"/>
    </row>
    <row r="177" spans="3:7" x14ac:dyDescent="0.3">
      <c r="C177" s="22"/>
      <c r="F177" s="9"/>
      <c r="G177" s="281" t="s">
        <v>483</v>
      </c>
    </row>
    <row r="178" spans="3:7" x14ac:dyDescent="0.3">
      <c r="C178" s="22"/>
      <c r="F178" s="9"/>
    </row>
    <row r="179" spans="3:7" x14ac:dyDescent="0.3">
      <c r="C179" s="22"/>
      <c r="D179" s="520"/>
      <c r="F179" s="9"/>
    </row>
    <row r="180" spans="3:7" x14ac:dyDescent="0.3">
      <c r="C180" s="22"/>
      <c r="F180" s="9"/>
    </row>
    <row r="181" spans="3:7" x14ac:dyDescent="0.3">
      <c r="C181" s="22"/>
      <c r="F181" s="9"/>
    </row>
    <row r="182" spans="3:7" x14ac:dyDescent="0.3">
      <c r="C182" s="22"/>
      <c r="F182" s="9"/>
    </row>
    <row r="183" spans="3:7" x14ac:dyDescent="0.3">
      <c r="C183" s="22"/>
      <c r="F183" s="9"/>
    </row>
    <row r="184" spans="3:7" x14ac:dyDescent="0.3">
      <c r="C184" s="22"/>
      <c r="F184" s="9"/>
    </row>
    <row r="185" spans="3:7" x14ac:dyDescent="0.3">
      <c r="C185" s="22"/>
      <c r="F185" s="9"/>
    </row>
    <row r="186" spans="3:7" x14ac:dyDescent="0.3">
      <c r="C186" s="22"/>
      <c r="F186" s="9"/>
    </row>
    <row r="187" spans="3:7" x14ac:dyDescent="0.3">
      <c r="C187" s="22"/>
      <c r="F187" s="9"/>
    </row>
    <row r="188" spans="3:7" x14ac:dyDescent="0.3">
      <c r="C188" s="22"/>
      <c r="F188" s="9"/>
    </row>
    <row r="189" spans="3:7" x14ac:dyDescent="0.3">
      <c r="C189" s="22"/>
      <c r="F189" s="9"/>
    </row>
    <row r="190" spans="3:7" x14ac:dyDescent="0.3">
      <c r="C190" s="22"/>
      <c r="F190" s="9"/>
    </row>
    <row r="191" spans="3:7" x14ac:dyDescent="0.3">
      <c r="C191" s="22"/>
      <c r="F191" s="9"/>
    </row>
    <row r="192" spans="3:7" x14ac:dyDescent="0.3">
      <c r="C192" s="22"/>
      <c r="F192" s="9"/>
    </row>
    <row r="193" spans="1:6" x14ac:dyDescent="0.3">
      <c r="C193" s="22"/>
      <c r="F193" s="9"/>
    </row>
    <row r="194" spans="1:6" x14ac:dyDescent="0.3">
      <c r="C194" s="22"/>
      <c r="F194" s="9"/>
    </row>
    <row r="195" spans="1:6" x14ac:dyDescent="0.3">
      <c r="C195" s="22"/>
      <c r="F195" s="9"/>
    </row>
    <row r="196" spans="1:6" x14ac:dyDescent="0.3">
      <c r="C196" s="22"/>
      <c r="F196" s="9"/>
    </row>
    <row r="197" spans="1:6" x14ac:dyDescent="0.3">
      <c r="A197" s="509" t="s">
        <v>21</v>
      </c>
      <c r="C197" s="22"/>
      <c r="F197" s="9"/>
    </row>
    <row r="198" spans="1:6" x14ac:dyDescent="0.3">
      <c r="C198" s="22"/>
      <c r="F198" s="9"/>
    </row>
    <row r="199" spans="1:6" x14ac:dyDescent="0.3">
      <c r="C199" s="22"/>
      <c r="F199" s="9"/>
    </row>
    <row r="200" spans="1:6" x14ac:dyDescent="0.3">
      <c r="C200" s="22"/>
      <c r="F200" s="9"/>
    </row>
    <row r="201" spans="1:6" x14ac:dyDescent="0.3">
      <c r="C201" s="22"/>
      <c r="F201" s="9"/>
    </row>
    <row r="202" spans="1:6" x14ac:dyDescent="0.3">
      <c r="C202" s="22"/>
      <c r="F202" s="9"/>
    </row>
    <row r="203" spans="1:6" x14ac:dyDescent="0.3">
      <c r="C203" s="22"/>
      <c r="F203" s="9"/>
    </row>
  </sheetData>
  <sheetProtection formatCells="0" formatColumns="0" formatRows="0"/>
  <autoFilter ref="A11:H172" xr:uid="{00000000-0009-0000-0000-000001000000}"/>
  <mergeCells count="5">
    <mergeCell ref="C6:F6"/>
    <mergeCell ref="C7:F7"/>
    <mergeCell ref="C8:F8"/>
    <mergeCell ref="B5:F5"/>
    <mergeCell ref="J29:N30"/>
  </mergeCells>
  <phoneticPr fontId="23" type="noConversion"/>
  <pageMargins left="0.70866141732283472" right="0.70866141732283472" top="0.74803149606299213" bottom="0.74803149606299213" header="0.31496062992125984" footer="0.31496062992125984"/>
  <pageSetup scale="84"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6"/>
  <sheetViews>
    <sheetView tabSelected="1" zoomScale="80" zoomScaleNormal="80" workbookViewId="0">
      <selection activeCell="C39" sqref="C39"/>
    </sheetView>
  </sheetViews>
  <sheetFormatPr baseColWidth="10" defaultColWidth="11.44140625" defaultRowHeight="14.4" x14ac:dyDescent="0.25"/>
  <cols>
    <col min="1" max="1" width="7.109375" style="1" customWidth="1"/>
    <col min="2" max="2" width="1.33203125" style="1" customWidth="1"/>
    <col min="3" max="3" width="41.88671875" style="1" customWidth="1"/>
    <col min="4" max="4" width="16.44140625" style="2" customWidth="1"/>
    <col min="5" max="5" width="11.33203125" style="2" customWidth="1"/>
    <col min="6" max="6" width="13.77734375" style="2" customWidth="1"/>
    <col min="7" max="7" width="21.44140625" style="1" customWidth="1"/>
    <col min="8" max="8" width="20.44140625" style="1" customWidth="1"/>
    <col min="9" max="9" width="3.88671875" style="1" customWidth="1"/>
    <col min="10" max="10" width="20.88671875" style="1" customWidth="1"/>
    <col min="11" max="11" width="28.33203125" style="303" bestFit="1" customWidth="1"/>
    <col min="12" max="12" width="14.5546875" style="4" bestFit="1" customWidth="1"/>
    <col min="13" max="16384" width="11.44140625" style="4"/>
  </cols>
  <sheetData>
    <row r="1" spans="1:11" ht="15.6" x14ac:dyDescent="0.3">
      <c r="B1" s="659" t="s">
        <v>590</v>
      </c>
      <c r="C1" s="659"/>
      <c r="D1" s="659"/>
      <c r="E1" s="659"/>
      <c r="F1" s="659"/>
      <c r="G1" s="659"/>
      <c r="H1" s="659"/>
    </row>
    <row r="2" spans="1:11" ht="15.6" x14ac:dyDescent="0.3">
      <c r="B2" s="659" t="s">
        <v>11</v>
      </c>
      <c r="C2" s="659"/>
      <c r="D2" s="659"/>
      <c r="E2" s="659"/>
      <c r="F2" s="659"/>
      <c r="G2" s="659"/>
      <c r="H2" s="659"/>
    </row>
    <row r="3" spans="1:11" s="202" customFormat="1" ht="15.6" x14ac:dyDescent="0.3">
      <c r="A3" s="188"/>
      <c r="B3" s="618" t="s">
        <v>559</v>
      </c>
      <c r="C3" s="618"/>
      <c r="D3" s="618"/>
      <c r="E3" s="618"/>
      <c r="F3" s="618"/>
      <c r="G3" s="618"/>
      <c r="H3" s="618"/>
      <c r="I3" s="188"/>
      <c r="J3" s="188"/>
      <c r="K3" s="602"/>
    </row>
    <row r="4" spans="1:11" ht="15.6" x14ac:dyDescent="0.3">
      <c r="B4" s="659" t="s">
        <v>0</v>
      </c>
      <c r="C4" s="659"/>
      <c r="D4" s="659"/>
      <c r="E4" s="659"/>
      <c r="F4" s="659"/>
      <c r="G4" s="659"/>
      <c r="H4" s="659"/>
      <c r="J4" s="194"/>
      <c r="K4" s="479"/>
    </row>
    <row r="5" spans="1:11" ht="15.6" x14ac:dyDescent="0.3">
      <c r="B5" s="181"/>
      <c r="C5" s="181"/>
      <c r="D5" s="181"/>
      <c r="E5" s="181"/>
      <c r="F5" s="181"/>
      <c r="G5" s="181"/>
      <c r="H5" s="181"/>
      <c r="J5" s="194"/>
      <c r="K5" s="482"/>
    </row>
    <row r="6" spans="1:11" ht="15.6" x14ac:dyDescent="0.25">
      <c r="C6" s="23"/>
      <c r="J6" s="194"/>
      <c r="K6" s="482"/>
    </row>
    <row r="7" spans="1:11" ht="51.6" customHeight="1" x14ac:dyDescent="0.3">
      <c r="C7" s="5"/>
      <c r="D7" s="30" t="s">
        <v>12</v>
      </c>
      <c r="E7" s="30" t="s">
        <v>13</v>
      </c>
      <c r="F7" s="30" t="s">
        <v>7</v>
      </c>
      <c r="G7" s="30" t="s">
        <v>14</v>
      </c>
      <c r="H7" s="30" t="s">
        <v>15</v>
      </c>
      <c r="J7" s="194"/>
      <c r="K7" s="482"/>
    </row>
    <row r="8" spans="1:11" ht="15.6" x14ac:dyDescent="0.25">
      <c r="C8" s="200" t="str">
        <f>Datos!D15</f>
        <v>Saldo al 31 de Diciembre del 2023</v>
      </c>
      <c r="D8" s="488">
        <v>16325280</v>
      </c>
      <c r="E8" s="488">
        <v>0</v>
      </c>
      <c r="F8" s="488">
        <v>0</v>
      </c>
      <c r="G8" s="485">
        <v>33845916.077000022</v>
      </c>
      <c r="H8" s="485">
        <f>SUM(D8,E8,F8,G8)</f>
        <v>50171196.077000022</v>
      </c>
      <c r="I8" s="3"/>
      <c r="J8" s="194"/>
      <c r="K8" s="482"/>
    </row>
    <row r="9" spans="1:11" customFormat="1" ht="15.6" x14ac:dyDescent="0.3">
      <c r="A9" s="2"/>
      <c r="B9" s="2"/>
      <c r="C9" s="188" t="s">
        <v>8</v>
      </c>
      <c r="D9" s="488">
        <v>0</v>
      </c>
      <c r="E9" s="488">
        <v>0</v>
      </c>
      <c r="F9" s="488"/>
      <c r="G9" s="488"/>
      <c r="H9" s="488">
        <f>SUM(D9,E9,F9,G9)</f>
        <v>0</v>
      </c>
      <c r="I9" s="2"/>
      <c r="J9" s="194"/>
      <c r="K9" s="482"/>
    </row>
    <row r="10" spans="1:11" customFormat="1" ht="15.6" x14ac:dyDescent="0.3">
      <c r="A10" s="2"/>
      <c r="B10" s="2"/>
      <c r="C10" s="188" t="s">
        <v>16</v>
      </c>
      <c r="D10" s="488">
        <v>0</v>
      </c>
      <c r="E10" s="488"/>
      <c r="F10" s="488">
        <v>0</v>
      </c>
      <c r="G10" s="488"/>
      <c r="H10" s="488">
        <f>SUM(D10,E10,F10,G10)</f>
        <v>0</v>
      </c>
      <c r="I10" s="2"/>
      <c r="J10" s="194"/>
      <c r="K10" s="484"/>
    </row>
    <row r="11" spans="1:11" ht="15.6" x14ac:dyDescent="0.25">
      <c r="C11" s="188" t="s">
        <v>9</v>
      </c>
      <c r="D11" s="488"/>
      <c r="E11" s="488"/>
      <c r="F11" s="488"/>
      <c r="G11" s="485">
        <v>96762.502333330514</v>
      </c>
      <c r="H11" s="485">
        <f>SUM(D11,E11,F11,G11)</f>
        <v>96762.502333330514</v>
      </c>
      <c r="J11" s="194"/>
      <c r="K11" s="482"/>
    </row>
    <row r="12" spans="1:11" ht="15.6" x14ac:dyDescent="0.25">
      <c r="C12" s="188" t="s">
        <v>10</v>
      </c>
      <c r="D12" s="488">
        <v>0</v>
      </c>
      <c r="E12" s="488"/>
      <c r="F12" s="488"/>
      <c r="G12" s="485">
        <v>3580831.0166666619</v>
      </c>
      <c r="H12" s="485">
        <f>SUM(D12,E12,F12,G12)</f>
        <v>3580831.0166666619</v>
      </c>
      <c r="J12" s="480"/>
      <c r="K12" s="482"/>
    </row>
    <row r="13" spans="1:11" ht="15.6" x14ac:dyDescent="0.25">
      <c r="C13" s="200" t="str">
        <f>Datos!D16</f>
        <v>Saldo al 30 de Junio del 2024</v>
      </c>
      <c r="D13" s="604">
        <f>SUM(D8:D12)</f>
        <v>16325280</v>
      </c>
      <c r="E13" s="604">
        <f>SUM(E8:E12)</f>
        <v>0</v>
      </c>
      <c r="F13" s="604">
        <f>SUM(F8:F12)</f>
        <v>0</v>
      </c>
      <c r="G13" s="486">
        <f>SUM(G8:G12)</f>
        <v>37523509.596000016</v>
      </c>
      <c r="H13" s="486">
        <f>SUM(H8:H12)</f>
        <v>53848789.596000016</v>
      </c>
      <c r="J13" s="194"/>
      <c r="K13" s="482"/>
    </row>
    <row r="14" spans="1:11" ht="15.6" x14ac:dyDescent="0.25">
      <c r="C14" s="200"/>
      <c r="D14" s="488"/>
      <c r="E14" s="488"/>
      <c r="F14" s="488"/>
      <c r="G14" s="488"/>
      <c r="H14" s="488"/>
      <c r="J14" s="194"/>
      <c r="K14" s="482"/>
    </row>
    <row r="15" spans="1:11" s="195" customFormat="1" ht="15.6" x14ac:dyDescent="0.25">
      <c r="A15" s="28"/>
      <c r="B15" s="28"/>
      <c r="C15" s="200" t="str">
        <f>Datos!D17</f>
        <v>Saldo al 31 de Diciembre del 2024</v>
      </c>
      <c r="D15" s="487">
        <v>16325280</v>
      </c>
      <c r="E15" s="487"/>
      <c r="F15" s="487"/>
      <c r="G15" s="485">
        <v>36737084.774000004</v>
      </c>
      <c r="H15" s="487">
        <f t="shared" ref="H15:H20" si="0">SUM(D15,E15,F15,G15)</f>
        <v>53062364.774000004</v>
      </c>
      <c r="I15" s="28"/>
      <c r="J15" s="480"/>
      <c r="K15" s="482"/>
    </row>
    <row r="16" spans="1:11" customFormat="1" x14ac:dyDescent="0.3">
      <c r="A16" s="2"/>
      <c r="B16" s="2"/>
      <c r="C16" s="201" t="s">
        <v>8</v>
      </c>
      <c r="D16" s="488">
        <v>0</v>
      </c>
      <c r="E16" s="488">
        <v>0</v>
      </c>
      <c r="F16" s="488"/>
      <c r="G16" s="605"/>
      <c r="H16" s="488">
        <f t="shared" si="0"/>
        <v>0</v>
      </c>
      <c r="I16" s="2"/>
      <c r="J16" s="1"/>
      <c r="K16" s="303"/>
    </row>
    <row r="17" spans="1:12" customFormat="1" ht="15.6" x14ac:dyDescent="0.3">
      <c r="A17" s="2"/>
      <c r="B17" s="2"/>
      <c r="C17" s="201" t="s">
        <v>16</v>
      </c>
      <c r="D17" s="488">
        <v>0</v>
      </c>
      <c r="E17" s="488"/>
      <c r="F17" s="488">
        <v>0</v>
      </c>
      <c r="G17" s="605"/>
      <c r="H17" s="488">
        <f t="shared" si="0"/>
        <v>0</v>
      </c>
      <c r="I17" s="2"/>
      <c r="J17" s="191"/>
      <c r="K17" s="303"/>
    </row>
    <row r="18" spans="1:12" customFormat="1" ht="28.2" x14ac:dyDescent="0.3">
      <c r="A18" s="2"/>
      <c r="B18" s="2"/>
      <c r="C18" s="606" t="s">
        <v>17</v>
      </c>
      <c r="D18" s="488">
        <v>0</v>
      </c>
      <c r="E18" s="488"/>
      <c r="F18" s="488">
        <v>0</v>
      </c>
      <c r="G18" s="605"/>
      <c r="H18" s="488">
        <f t="shared" si="0"/>
        <v>0</v>
      </c>
      <c r="I18" s="2"/>
      <c r="J18" s="191"/>
      <c r="K18" s="303"/>
    </row>
    <row r="19" spans="1:12" ht="15.6" x14ac:dyDescent="0.25">
      <c r="C19" s="201" t="s">
        <v>9</v>
      </c>
      <c r="D19" s="488"/>
      <c r="E19" s="488"/>
      <c r="F19" s="488"/>
      <c r="G19" s="603">
        <v>825454.66400000383</v>
      </c>
      <c r="H19" s="488">
        <f t="shared" si="0"/>
        <v>825454.66400000383</v>
      </c>
      <c r="I19" s="2"/>
      <c r="J19" s="191"/>
    </row>
    <row r="20" spans="1:12" ht="15.6" x14ac:dyDescent="0.25">
      <c r="C20" s="201" t="s">
        <v>10</v>
      </c>
      <c r="D20" s="488">
        <v>0</v>
      </c>
      <c r="E20" s="488"/>
      <c r="F20" s="488"/>
      <c r="G20" s="510">
        <v>-535730.67000000004</v>
      </c>
      <c r="H20" s="485">
        <f t="shared" si="0"/>
        <v>-535730.67000000004</v>
      </c>
      <c r="I20" s="2"/>
      <c r="J20" s="481"/>
    </row>
    <row r="21" spans="1:12" ht="16.2" thickBot="1" x14ac:dyDescent="0.3">
      <c r="B21" s="24"/>
      <c r="C21" s="200" t="str">
        <f>Datos!D18</f>
        <v>Saldo al 30 de Junio del 2025</v>
      </c>
      <c r="D21" s="607">
        <f>SUM(D15:D20)</f>
        <v>16325280</v>
      </c>
      <c r="E21" s="607">
        <f>SUM(E15:E20)</f>
        <v>0</v>
      </c>
      <c r="F21" s="607">
        <f>SUM(F15:F20)</f>
        <v>0</v>
      </c>
      <c r="G21" s="601">
        <f>SUM(G15:G20)</f>
        <v>37026808.768000007</v>
      </c>
      <c r="H21" s="601">
        <f>SUM(H15:H20)</f>
        <v>53352088.768000007</v>
      </c>
      <c r="I21" s="2"/>
      <c r="J21" s="191"/>
      <c r="K21" s="483"/>
    </row>
    <row r="22" spans="1:12" ht="16.2" thickTop="1" x14ac:dyDescent="0.25">
      <c r="B22" s="24"/>
      <c r="D22" s="169"/>
      <c r="E22" s="169"/>
      <c r="F22" s="169"/>
      <c r="G22" s="3"/>
      <c r="H22" s="3"/>
      <c r="J22" s="192"/>
      <c r="L22" s="301"/>
    </row>
    <row r="23" spans="1:12" ht="15.6" x14ac:dyDescent="0.25">
      <c r="G23" s="3"/>
      <c r="J23" s="193"/>
    </row>
    <row r="24" spans="1:12" ht="15.6" hidden="1" x14ac:dyDescent="0.25">
      <c r="C24" s="24" t="s">
        <v>551</v>
      </c>
      <c r="G24" s="3"/>
      <c r="J24" s="193"/>
    </row>
    <row r="25" spans="1:12" ht="15.6" hidden="1" x14ac:dyDescent="0.25">
      <c r="C25" s="1" t="s">
        <v>581</v>
      </c>
      <c r="F25" s="3"/>
      <c r="G25" s="4"/>
      <c r="J25" s="193"/>
    </row>
    <row r="26" spans="1:12" ht="15.6" hidden="1" x14ac:dyDescent="0.25">
      <c r="C26" s="1" t="s">
        <v>552</v>
      </c>
      <c r="F26" s="4"/>
      <c r="G26" s="563" t="e">
        <f>+'Balance de Comprobación'!D18-'Balance de Comprobación'!F18</f>
        <v>#REF!</v>
      </c>
      <c r="J26" s="193"/>
    </row>
    <row r="27" spans="1:12" ht="15.6" hidden="1" x14ac:dyDescent="0.25">
      <c r="C27" s="1" t="s">
        <v>553</v>
      </c>
      <c r="F27" s="4"/>
      <c r="G27" s="563">
        <f>+'Balance de Comprobación'!D14-'Balance de Comprobación'!F14</f>
        <v>-3821946.8299999982</v>
      </c>
      <c r="J27" s="193"/>
    </row>
    <row r="28" spans="1:12" ht="15.6" hidden="1" x14ac:dyDescent="0.25">
      <c r="C28" s="1" t="s">
        <v>554</v>
      </c>
      <c r="F28" s="4"/>
      <c r="G28" s="568">
        <f>+'Balance de Comprobación'!D24-'Balance de Comprobación'!F24</f>
        <v>5183737.59</v>
      </c>
      <c r="J28" s="193"/>
    </row>
    <row r="29" spans="1:12" ht="16.2" hidden="1" thickBot="1" x14ac:dyDescent="0.3">
      <c r="C29" s="1" t="s">
        <v>555</v>
      </c>
      <c r="D29" s="4"/>
      <c r="F29" s="4"/>
      <c r="G29" s="569" t="e">
        <f>SUM(G26:G28)</f>
        <v>#REF!</v>
      </c>
      <c r="J29" s="193"/>
    </row>
    <row r="30" spans="1:12" ht="16.2" hidden="1" thickTop="1" x14ac:dyDescent="0.25">
      <c r="D30" s="567"/>
      <c r="G30" s="3"/>
      <c r="H30" s="600"/>
      <c r="J30" s="193"/>
    </row>
    <row r="31" spans="1:12" ht="15.6" x14ac:dyDescent="0.25">
      <c r="G31" s="3"/>
      <c r="H31" s="600"/>
      <c r="J31" s="193"/>
    </row>
    <row r="32" spans="1:12" ht="15.6" x14ac:dyDescent="0.25">
      <c r="G32" s="3"/>
      <c r="H32" s="600"/>
      <c r="J32" s="193"/>
    </row>
    <row r="33" spans="2:11" ht="15.6" x14ac:dyDescent="0.3">
      <c r="C33" s="1" t="s">
        <v>589</v>
      </c>
      <c r="D33" s="1"/>
      <c r="E33" s="1"/>
      <c r="F33" s="1"/>
      <c r="J33" s="193"/>
      <c r="K33" s="608"/>
    </row>
    <row r="34" spans="2:11" x14ac:dyDescent="0.25">
      <c r="G34" s="3"/>
    </row>
    <row r="35" spans="2:11" x14ac:dyDescent="0.25">
      <c r="G35" s="3"/>
    </row>
    <row r="36" spans="2:11" ht="15.6" x14ac:dyDescent="0.3">
      <c r="C36" s="290" t="str">
        <f>Datos!$B$484</f>
        <v>_____________________________</v>
      </c>
      <c r="D36" s="200"/>
      <c r="E36" s="200"/>
      <c r="F36" s="657" t="str">
        <f>Datos!$B$489</f>
        <v>_____________________________</v>
      </c>
      <c r="G36" s="657"/>
      <c r="H36" s="657"/>
      <c r="I36" s="25"/>
      <c r="J36" s="188"/>
    </row>
    <row r="37" spans="2:11" x14ac:dyDescent="0.3">
      <c r="C37" s="290" t="s">
        <v>592</v>
      </c>
      <c r="D37" s="290"/>
      <c r="E37" s="290"/>
      <c r="F37" s="657" t="str">
        <f>Datos!$B$490</f>
        <v>Lic. Mayra Martínez</v>
      </c>
      <c r="G37" s="657"/>
      <c r="H37" s="657"/>
      <c r="I37" s="188"/>
      <c r="J37" s="188"/>
    </row>
    <row r="38" spans="2:11" x14ac:dyDescent="0.3">
      <c r="C38" s="272" t="s">
        <v>593</v>
      </c>
      <c r="D38" s="188"/>
      <c r="E38" s="188"/>
      <c r="F38" s="658" t="str">
        <f>Datos!$B$491</f>
        <v>Enc.Depto. Administrativo y Financiero</v>
      </c>
      <c r="G38" s="658"/>
      <c r="H38" s="658"/>
      <c r="I38" s="188"/>
      <c r="J38" s="188"/>
    </row>
    <row r="39" spans="2:11" x14ac:dyDescent="0.3">
      <c r="C39" s="188"/>
      <c r="D39" s="38"/>
      <c r="E39" s="188"/>
      <c r="F39" s="203"/>
      <c r="G39" s="188"/>
      <c r="H39" s="188"/>
      <c r="I39" s="188"/>
      <c r="J39" s="188"/>
    </row>
    <row r="40" spans="2:11" x14ac:dyDescent="0.25">
      <c r="C40" s="188"/>
      <c r="D40" s="203"/>
      <c r="E40" s="203"/>
      <c r="F40" s="203"/>
      <c r="G40" s="188"/>
      <c r="H40" s="188"/>
      <c r="I40" s="188"/>
      <c r="J40" s="188"/>
    </row>
    <row r="41" spans="2:11" x14ac:dyDescent="0.25">
      <c r="C41" s="290" t="str">
        <f>Datos!$B$480</f>
        <v>_____________________________</v>
      </c>
      <c r="D41" s="203"/>
      <c r="E41" s="203"/>
      <c r="F41" s="203"/>
      <c r="G41" s="188"/>
      <c r="H41" s="188"/>
      <c r="I41" s="188"/>
      <c r="J41" s="188"/>
    </row>
    <row r="42" spans="2:11" x14ac:dyDescent="0.25">
      <c r="B42" s="4"/>
      <c r="C42" s="290" t="s">
        <v>363</v>
      </c>
      <c r="D42" s="203"/>
      <c r="E42" s="203"/>
      <c r="F42" s="203"/>
      <c r="G42" s="188"/>
      <c r="H42" s="188"/>
      <c r="I42" s="188"/>
      <c r="J42" s="188"/>
    </row>
    <row r="43" spans="2:11" x14ac:dyDescent="0.25">
      <c r="B43" s="4"/>
      <c r="C43" s="291" t="s">
        <v>591</v>
      </c>
      <c r="D43" s="203"/>
      <c r="E43" s="203"/>
      <c r="F43" s="203"/>
      <c r="G43" s="188"/>
      <c r="H43" s="188"/>
      <c r="I43" s="188"/>
      <c r="J43" s="188"/>
    </row>
    <row r="44" spans="2:11" ht="15.6" x14ac:dyDescent="0.25">
      <c r="B44" s="189"/>
      <c r="C44" s="291"/>
      <c r="D44" s="203"/>
      <c r="E44" s="203"/>
      <c r="F44" s="203"/>
      <c r="G44" s="188"/>
      <c r="H44" s="188"/>
      <c r="I44" s="188"/>
      <c r="J44" s="188"/>
    </row>
    <row r="45" spans="2:11" x14ac:dyDescent="0.25">
      <c r="C45" s="188"/>
      <c r="D45" s="203"/>
      <c r="E45" s="203"/>
      <c r="F45" s="203"/>
      <c r="G45" s="188"/>
      <c r="H45" s="188"/>
      <c r="I45" s="188"/>
      <c r="J45" s="188"/>
    </row>
    <row r="46" spans="2:11" ht="15.6" x14ac:dyDescent="0.25">
      <c r="C46" s="24"/>
      <c r="G46" s="3"/>
      <c r="J46" s="193"/>
      <c r="K46" s="4"/>
    </row>
    <row r="47" spans="2:11" ht="15.6" x14ac:dyDescent="0.25">
      <c r="F47" s="3"/>
      <c r="G47" s="4"/>
      <c r="J47" s="193"/>
      <c r="K47" s="4"/>
    </row>
    <row r="48" spans="2:11" ht="15.6" x14ac:dyDescent="0.25">
      <c r="F48" s="4"/>
      <c r="G48" s="485"/>
      <c r="J48" s="193"/>
      <c r="K48" s="4"/>
    </row>
    <row r="49" spans="3:11" ht="15.6" x14ac:dyDescent="0.25">
      <c r="F49" s="4"/>
      <c r="G49" s="485"/>
      <c r="J49" s="193"/>
      <c r="K49" s="4"/>
    </row>
    <row r="50" spans="3:11" ht="15.6" x14ac:dyDescent="0.25">
      <c r="F50" s="4"/>
      <c r="G50" s="485"/>
      <c r="J50" s="193"/>
      <c r="K50" s="4"/>
    </row>
    <row r="51" spans="3:11" ht="15.6" x14ac:dyDescent="0.25">
      <c r="D51" s="4"/>
      <c r="F51" s="4"/>
      <c r="G51" s="485"/>
      <c r="J51" s="193"/>
      <c r="K51" s="4"/>
    </row>
    <row r="52" spans="3:11" ht="15.6" x14ac:dyDescent="0.25">
      <c r="D52" s="567"/>
      <c r="G52" s="485"/>
      <c r="J52" s="193"/>
      <c r="K52" s="4"/>
    </row>
    <row r="53" spans="3:11" x14ac:dyDescent="0.25">
      <c r="C53" s="188"/>
      <c r="D53" s="203"/>
      <c r="E53" s="203"/>
      <c r="F53" s="203"/>
      <c r="G53" s="485"/>
      <c r="H53" s="188"/>
      <c r="I53" s="188"/>
      <c r="J53" s="188"/>
    </row>
    <row r="54" spans="3:11" x14ac:dyDescent="0.25">
      <c r="C54" s="188"/>
      <c r="D54" s="203"/>
      <c r="E54" s="203"/>
      <c r="F54" s="203"/>
      <c r="G54" s="188"/>
      <c r="H54" s="188"/>
      <c r="I54" s="188"/>
      <c r="J54" s="188"/>
    </row>
    <row r="55" spans="3:11" x14ac:dyDescent="0.25">
      <c r="C55" s="188"/>
      <c r="D55" s="203"/>
      <c r="E55" s="203"/>
      <c r="F55" s="203"/>
      <c r="G55" s="188"/>
      <c r="H55" s="188"/>
      <c r="I55" s="188"/>
      <c r="J55" s="188"/>
    </row>
    <row r="56" spans="3:11" ht="15.6" x14ac:dyDescent="0.25">
      <c r="C56" s="37"/>
      <c r="D56" s="203"/>
      <c r="E56" s="203"/>
      <c r="F56" s="203"/>
      <c r="G56" s="188"/>
      <c r="H56" s="188"/>
      <c r="I56" s="188"/>
      <c r="J56" s="188"/>
    </row>
  </sheetData>
  <sheetProtection formatCells="0" formatColumns="0" formatRows="0"/>
  <mergeCells count="7">
    <mergeCell ref="F37:H37"/>
    <mergeCell ref="F38:H38"/>
    <mergeCell ref="F36:H36"/>
    <mergeCell ref="B1:H1"/>
    <mergeCell ref="B2:H2"/>
    <mergeCell ref="B3:H3"/>
    <mergeCell ref="B4:H4"/>
  </mergeCells>
  <printOptions horizontalCentered="1"/>
  <pageMargins left="0.35433070866141736" right="0.35433070866141736" top="1.4173228346456694" bottom="0.35433070866141736" header="0.31496062992125984" footer="0.31496062992125984"/>
  <pageSetup scale="75" orientation="landscape"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5"/>
  <sheetViews>
    <sheetView showGridLines="0" topLeftCell="B1" zoomScale="80" zoomScaleNormal="80" workbookViewId="0">
      <selection activeCell="C6" sqref="C6:G6"/>
    </sheetView>
  </sheetViews>
  <sheetFormatPr baseColWidth="10" defaultColWidth="9.109375" defaultRowHeight="15.6" x14ac:dyDescent="0.3"/>
  <cols>
    <col min="1" max="1" width="15.33203125" style="31" hidden="1" customWidth="1"/>
    <col min="2" max="2" width="34" style="32" customWidth="1"/>
    <col min="3" max="3" width="15.6640625" style="32" customWidth="1"/>
    <col min="4" max="4" width="1.33203125" style="32" customWidth="1"/>
    <col min="5" max="5" width="15.88671875" style="32" customWidth="1"/>
    <col min="6" max="6" width="1.33203125" style="32" customWidth="1"/>
    <col min="7" max="7" width="15.88671875" style="32" customWidth="1"/>
    <col min="8" max="8" width="9.109375" style="32"/>
    <col min="9" max="9" width="15.6640625" style="32" hidden="1" customWidth="1"/>
    <col min="10" max="10" width="13.88671875" style="32" hidden="1" customWidth="1"/>
    <col min="11" max="11" width="14.88671875" style="32" hidden="1" customWidth="1"/>
    <col min="12" max="12" width="13.109375" style="32" hidden="1" customWidth="1"/>
    <col min="13" max="13" width="15.109375" style="32" hidden="1" customWidth="1"/>
    <col min="14" max="14" width="18.44140625" style="32" customWidth="1"/>
    <col min="15" max="15" width="1.88671875" style="32" customWidth="1"/>
    <col min="16" max="16" width="18.44140625" style="32" customWidth="1"/>
    <col min="17" max="17" width="2.109375" style="32" customWidth="1"/>
    <col min="18" max="18" width="21.44140625" style="32" customWidth="1"/>
    <col min="19" max="19" width="13.6640625" style="32" bestFit="1" customWidth="1"/>
    <col min="20" max="20" width="16.5546875" style="32" customWidth="1"/>
    <col min="21" max="21" width="13.6640625" style="32" bestFit="1" customWidth="1"/>
    <col min="22" max="16384" width="9.109375" style="32"/>
  </cols>
  <sheetData>
    <row r="1" spans="1:8" x14ac:dyDescent="0.3">
      <c r="A1" s="32"/>
      <c r="B1" s="664" t="s">
        <v>20</v>
      </c>
      <c r="C1" s="664"/>
      <c r="D1" s="664"/>
      <c r="E1" s="664"/>
      <c r="F1" s="664"/>
      <c r="G1" s="664"/>
    </row>
    <row r="2" spans="1:8" x14ac:dyDescent="0.3">
      <c r="A2" s="32"/>
      <c r="B2" s="117"/>
      <c r="D2" s="36" t="s">
        <v>286</v>
      </c>
      <c r="E2" s="164" t="str">
        <f>Datos!C24</f>
        <v>Al 30 de Junio del 2025</v>
      </c>
      <c r="F2" s="117"/>
      <c r="G2" s="117"/>
    </row>
    <row r="3" spans="1:8" x14ac:dyDescent="0.3">
      <c r="A3" s="32"/>
      <c r="B3" s="664"/>
      <c r="C3" s="664"/>
      <c r="D3" s="664"/>
      <c r="E3" s="664"/>
      <c r="F3" s="664"/>
      <c r="G3" s="664"/>
    </row>
    <row r="4" spans="1:8" ht="155.25" customHeight="1" x14ac:dyDescent="0.3">
      <c r="A4" s="32"/>
      <c r="B4" s="663" t="s">
        <v>459</v>
      </c>
      <c r="C4" s="663"/>
      <c r="D4" s="663"/>
      <c r="E4" s="663"/>
      <c r="F4" s="663"/>
      <c r="G4" s="663"/>
    </row>
    <row r="5" spans="1:8" ht="81" customHeight="1" x14ac:dyDescent="0.3">
      <c r="A5" s="32"/>
      <c r="B5" s="661" t="s">
        <v>372</v>
      </c>
      <c r="C5" s="661"/>
      <c r="D5" s="661"/>
      <c r="E5" s="661"/>
      <c r="F5" s="661"/>
      <c r="G5" s="661"/>
    </row>
    <row r="6" spans="1:8" ht="163.5" customHeight="1" x14ac:dyDescent="0.3">
      <c r="A6" s="32"/>
      <c r="B6" s="300" t="s">
        <v>464</v>
      </c>
      <c r="C6" s="665" t="s">
        <v>465</v>
      </c>
      <c r="D6" s="665"/>
      <c r="E6" s="665"/>
      <c r="F6" s="665"/>
      <c r="G6" s="665"/>
    </row>
    <row r="7" spans="1:8" ht="324" customHeight="1" x14ac:dyDescent="0.3">
      <c r="A7" s="32"/>
      <c r="B7" s="663" t="s">
        <v>484</v>
      </c>
      <c r="C7" s="663"/>
      <c r="D7" s="663"/>
      <c r="E7" s="663"/>
      <c r="F7" s="663"/>
      <c r="G7" s="663"/>
    </row>
    <row r="8" spans="1:8" ht="361.5" customHeight="1" x14ac:dyDescent="0.3">
      <c r="A8" s="32"/>
      <c r="B8" s="661" t="s">
        <v>469</v>
      </c>
      <c r="C8" s="661"/>
      <c r="D8" s="661"/>
      <c r="E8" s="661"/>
      <c r="F8" s="661"/>
      <c r="G8" s="661"/>
      <c r="H8" s="298"/>
    </row>
    <row r="9" spans="1:8" ht="346.5" customHeight="1" x14ac:dyDescent="0.3">
      <c r="B9" s="661" t="s">
        <v>470</v>
      </c>
      <c r="C9" s="661"/>
      <c r="D9" s="661"/>
      <c r="E9" s="661"/>
      <c r="F9" s="661"/>
      <c r="G9" s="661"/>
    </row>
    <row r="10" spans="1:8" ht="243" customHeight="1" x14ac:dyDescent="0.3">
      <c r="B10" s="661" t="s">
        <v>471</v>
      </c>
      <c r="C10" s="661"/>
      <c r="D10" s="661"/>
      <c r="E10" s="661"/>
      <c r="F10" s="661"/>
      <c r="G10" s="661"/>
    </row>
    <row r="11" spans="1:8" ht="336.75" customHeight="1" x14ac:dyDescent="0.3">
      <c r="B11" s="661" t="s">
        <v>473</v>
      </c>
      <c r="C11" s="661"/>
      <c r="D11" s="661"/>
      <c r="E11" s="661"/>
      <c r="F11" s="661"/>
      <c r="G11" s="661"/>
    </row>
    <row r="12" spans="1:8" ht="266.25" customHeight="1" x14ac:dyDescent="0.3">
      <c r="B12" s="661" t="s">
        <v>466</v>
      </c>
      <c r="C12" s="661"/>
      <c r="D12" s="661"/>
      <c r="E12" s="661"/>
      <c r="F12" s="661"/>
      <c r="G12" s="661"/>
    </row>
    <row r="13" spans="1:8" ht="409.5" customHeight="1" x14ac:dyDescent="0.3">
      <c r="B13" s="660" t="s">
        <v>472</v>
      </c>
      <c r="C13" s="662"/>
      <c r="D13" s="662"/>
      <c r="E13" s="662"/>
      <c r="F13" s="662"/>
      <c r="G13" s="662"/>
    </row>
    <row r="14" spans="1:8" ht="204" customHeight="1" x14ac:dyDescent="0.3">
      <c r="B14" s="660" t="s">
        <v>467</v>
      </c>
      <c r="C14" s="660"/>
      <c r="D14" s="660"/>
      <c r="E14" s="660"/>
      <c r="F14" s="660"/>
      <c r="G14" s="660"/>
    </row>
    <row r="15" spans="1:8" ht="303" customHeight="1" x14ac:dyDescent="0.3">
      <c r="B15" s="660" t="s">
        <v>468</v>
      </c>
      <c r="C15" s="660"/>
      <c r="D15" s="660"/>
      <c r="E15" s="660"/>
      <c r="F15" s="660"/>
      <c r="G15" s="660"/>
    </row>
  </sheetData>
  <mergeCells count="14">
    <mergeCell ref="B7:G7"/>
    <mergeCell ref="B9:G9"/>
    <mergeCell ref="B8:G8"/>
    <mergeCell ref="B11:G11"/>
    <mergeCell ref="B1:G1"/>
    <mergeCell ref="B3:G3"/>
    <mergeCell ref="B4:G4"/>
    <mergeCell ref="B5:G5"/>
    <mergeCell ref="C6:G6"/>
    <mergeCell ref="B15:G15"/>
    <mergeCell ref="B10:G10"/>
    <mergeCell ref="B12:G12"/>
    <mergeCell ref="B14:G14"/>
    <mergeCell ref="B13:G13"/>
  </mergeCells>
  <pageMargins left="0.70866141732283472" right="0.70866141732283472" top="0.74803149606299213" bottom="0.74803149606299213" header="0.31496062992125984" footer="0.31496062992125984"/>
  <pageSetup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Datos</vt:lpstr>
      <vt:lpstr>Balance de Comprobación</vt:lpstr>
      <vt:lpstr>ECANP-Cambio Patrimonio</vt:lpstr>
      <vt:lpstr>Notas 1-6</vt:lpstr>
      <vt:lpstr>'Balance de Comprobación'!Área_de_impresión</vt:lpstr>
      <vt:lpstr>'ECANP-Cambio Patrimonio'!Área_de_impresión</vt:lpstr>
      <vt:lpstr>'Notas 1-6'!Área_de_impresión</vt:lpstr>
      <vt:lpstr>'Balance de Comprobación'!Títulos_a_imprimir</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Ylkania Botello</dc:creator>
  <cp:lastModifiedBy>Anafranc De los Santos</cp:lastModifiedBy>
  <cp:lastPrinted>2025-07-15T21:00:20Z</cp:lastPrinted>
  <dcterms:created xsi:type="dcterms:W3CDTF">2018-05-02T13:48:18Z</dcterms:created>
  <dcterms:modified xsi:type="dcterms:W3CDTF">2025-07-15T21:00:50Z</dcterms:modified>
</cp:coreProperties>
</file>