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oniaf-my.sharepoint.com/personal/tfeliz_coniaf_gob_do/Documents/Escritorio/TRANSPARENCIA 2024/SEPTIEMBRE/"/>
    </mc:Choice>
  </mc:AlternateContent>
  <xr:revisionPtr revIDLastSave="0" documentId="8_{540E8FE5-59B1-4962-B9CD-0E4C9F02A5D7}" xr6:coauthVersionLast="47" xr6:coauthVersionMax="47" xr10:uidLastSave="{00000000-0000-0000-0000-000000000000}"/>
  <bookViews>
    <workbookView xWindow="-120" yWindow="-120" windowWidth="29040" windowHeight="15720" activeTab="2" xr2:uid="{6BADD5A4-B6CE-4CC2-B55B-0B81200C7392}"/>
  </bookViews>
  <sheets>
    <sheet name="JULIO" sheetId="1" r:id="rId1"/>
    <sheet name="AGOSTO" sheetId="3" r:id="rId2"/>
    <sheet name="SEPTIEMBRE" sheetId="2" r:id="rId3"/>
    <sheet name="JULIO-SEPTIEMBRE 2024" sheetId="4" r:id="rId4"/>
  </sheets>
  <definedNames>
    <definedName name="_xlnm.Print_Area" localSheetId="1">AGOSTO!$A$1:$O$114</definedName>
    <definedName name="_xlnm.Print_Area" localSheetId="0">JULIO!$A$1:$O$110</definedName>
    <definedName name="_xlnm.Print_Area" localSheetId="3">'JULIO-SEPTIEMBRE 2024'!$A$1:$O$118</definedName>
    <definedName name="_xlnm.Print_Area" localSheetId="2">SEPTIEMBRE!$A$1:$O$111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1" i="4" l="1"/>
  <c r="M111" i="4"/>
  <c r="L111" i="4"/>
  <c r="K111" i="4"/>
  <c r="J111" i="4"/>
  <c r="N110" i="4"/>
  <c r="N109" i="4"/>
  <c r="N108" i="4"/>
  <c r="N107" i="4"/>
  <c r="N106" i="4"/>
  <c r="N105" i="4"/>
  <c r="M102" i="4"/>
  <c r="L102" i="4"/>
  <c r="K102" i="4"/>
  <c r="J102" i="4"/>
  <c r="N102" i="4" s="1"/>
  <c r="N101" i="4"/>
  <c r="N100" i="4"/>
  <c r="N99" i="4"/>
  <c r="L89" i="4"/>
  <c r="J89" i="4"/>
  <c r="J88" i="2"/>
  <c r="L88" i="2"/>
  <c r="F76" i="2"/>
  <c r="F77" i="4" s="1"/>
  <c r="O53" i="4"/>
  <c r="M88" i="2"/>
  <c r="O20" i="2" l="1"/>
  <c r="M48" i="2"/>
  <c r="A22" i="4" l="1"/>
  <c r="A18" i="4"/>
  <c r="A25" i="4"/>
  <c r="A24" i="4"/>
  <c r="A23" i="4"/>
  <c r="A21" i="4"/>
  <c r="A20" i="4"/>
  <c r="A19" i="4"/>
  <c r="D77" i="4"/>
  <c r="D78" i="4"/>
  <c r="D79" i="4"/>
  <c r="D80" i="4"/>
  <c r="D81" i="4"/>
  <c r="D82" i="4"/>
  <c r="D83" i="4"/>
  <c r="D76" i="4"/>
  <c r="H22" i="4"/>
  <c r="I22" i="4"/>
  <c r="J22" i="4"/>
  <c r="K22" i="4"/>
  <c r="L22" i="4"/>
  <c r="M22" i="4"/>
  <c r="N22" i="4"/>
  <c r="O22" i="4"/>
  <c r="G22" i="4"/>
  <c r="O21" i="2"/>
  <c r="H24" i="4"/>
  <c r="I24" i="4"/>
  <c r="J24" i="4"/>
  <c r="K24" i="4"/>
  <c r="L24" i="4"/>
  <c r="M24" i="4"/>
  <c r="N24" i="4"/>
  <c r="G24" i="4"/>
  <c r="G23" i="4"/>
  <c r="G21" i="4"/>
  <c r="G20" i="4"/>
  <c r="G18" i="4"/>
  <c r="O25" i="3"/>
  <c r="O24" i="3"/>
  <c r="O23" i="3"/>
  <c r="O22" i="3"/>
  <c r="O21" i="3"/>
  <c r="O19" i="3"/>
  <c r="O18" i="3"/>
  <c r="O26" i="3"/>
  <c r="O22" i="1"/>
  <c r="O21" i="1"/>
  <c r="O19" i="1"/>
  <c r="O18" i="1"/>
  <c r="A23" i="1"/>
  <c r="O20" i="3"/>
  <c r="O19" i="2"/>
  <c r="O22" i="2"/>
  <c r="H25" i="4"/>
  <c r="I25" i="4"/>
  <c r="J25" i="4"/>
  <c r="K25" i="4"/>
  <c r="L25" i="4"/>
  <c r="M25" i="4"/>
  <c r="N25" i="4"/>
  <c r="G25" i="4"/>
  <c r="H23" i="4"/>
  <c r="I23" i="4"/>
  <c r="J23" i="4"/>
  <c r="K23" i="4"/>
  <c r="L23" i="4"/>
  <c r="M23" i="4"/>
  <c r="N23" i="4"/>
  <c r="H20" i="4"/>
  <c r="I20" i="4"/>
  <c r="J20" i="4"/>
  <c r="K20" i="4"/>
  <c r="L20" i="4"/>
  <c r="M20" i="4"/>
  <c r="N20" i="4"/>
  <c r="H21" i="4"/>
  <c r="I21" i="4"/>
  <c r="J21" i="4"/>
  <c r="K21" i="4"/>
  <c r="L21" i="4"/>
  <c r="N21" i="4"/>
  <c r="H19" i="4"/>
  <c r="I19" i="4"/>
  <c r="J19" i="4"/>
  <c r="K19" i="4"/>
  <c r="L19" i="4"/>
  <c r="M19" i="4"/>
  <c r="N19" i="4"/>
  <c r="G19" i="4"/>
  <c r="H18" i="4"/>
  <c r="I18" i="4"/>
  <c r="J18" i="4"/>
  <c r="K18" i="4"/>
  <c r="L18" i="4"/>
  <c r="M18" i="4"/>
  <c r="N18" i="4"/>
  <c r="A66" i="4"/>
  <c r="A55" i="4"/>
  <c r="A53" i="4"/>
  <c r="G42" i="4"/>
  <c r="A42" i="4"/>
  <c r="A40" i="4"/>
  <c r="A39" i="4"/>
  <c r="A38" i="4"/>
  <c r="A37" i="4"/>
  <c r="A36" i="4"/>
  <c r="A35" i="4"/>
  <c r="A34" i="4"/>
  <c r="D84" i="4" l="1"/>
  <c r="A26" i="4"/>
  <c r="J90" i="4" s="1"/>
  <c r="O19" i="4"/>
  <c r="O18" i="4"/>
  <c r="G26" i="4"/>
  <c r="O24" i="4"/>
  <c r="K26" i="4"/>
  <c r="O20" i="4"/>
  <c r="O23" i="4"/>
  <c r="O25" i="4"/>
  <c r="H66" i="4"/>
  <c r="I66" i="4"/>
  <c r="J66" i="4"/>
  <c r="K66" i="4"/>
  <c r="L66" i="4"/>
  <c r="M66" i="4"/>
  <c r="N66" i="4"/>
  <c r="G66" i="4"/>
  <c r="H53" i="4"/>
  <c r="I53" i="4"/>
  <c r="J53" i="4"/>
  <c r="K53" i="4"/>
  <c r="L53" i="4"/>
  <c r="M53" i="4"/>
  <c r="N53" i="4"/>
  <c r="H55" i="4"/>
  <c r="I55" i="4"/>
  <c r="J55" i="4"/>
  <c r="K55" i="4"/>
  <c r="L55" i="4"/>
  <c r="N55" i="4"/>
  <c r="G55" i="4"/>
  <c r="G53" i="4"/>
  <c r="H39" i="4"/>
  <c r="I39" i="4"/>
  <c r="J39" i="4"/>
  <c r="N39" i="4"/>
  <c r="G39" i="4"/>
  <c r="H38" i="4"/>
  <c r="I38" i="4"/>
  <c r="J38" i="4"/>
  <c r="K38" i="4"/>
  <c r="N38" i="4"/>
  <c r="G38" i="4"/>
  <c r="H37" i="4"/>
  <c r="I37" i="4"/>
  <c r="J37" i="4"/>
  <c r="M37" i="4"/>
  <c r="N37" i="4"/>
  <c r="G37" i="4"/>
  <c r="H36" i="4"/>
  <c r="I36" i="4"/>
  <c r="J36" i="4"/>
  <c r="M36" i="4"/>
  <c r="N36" i="4"/>
  <c r="G36" i="4"/>
  <c r="H35" i="4"/>
  <c r="I35" i="4"/>
  <c r="J35" i="4"/>
  <c r="K35" i="4"/>
  <c r="L35" i="4"/>
  <c r="M35" i="4"/>
  <c r="N35" i="4"/>
  <c r="G35" i="4"/>
  <c r="H34" i="4"/>
  <c r="I34" i="4"/>
  <c r="J34" i="4"/>
  <c r="K34" i="4"/>
  <c r="L34" i="4"/>
  <c r="M34" i="4"/>
  <c r="N34" i="4"/>
  <c r="G34" i="4"/>
  <c r="O41" i="4"/>
  <c r="N42" i="4"/>
  <c r="M42" i="4"/>
  <c r="L42" i="4"/>
  <c r="K42" i="4"/>
  <c r="J42" i="4"/>
  <c r="I42" i="4"/>
  <c r="H42" i="4"/>
  <c r="H40" i="4"/>
  <c r="I40" i="4"/>
  <c r="J40" i="4"/>
  <c r="M40" i="4"/>
  <c r="N40" i="4"/>
  <c r="G40" i="4"/>
  <c r="D83" i="2"/>
  <c r="N51" i="2"/>
  <c r="N52" i="2" s="1"/>
  <c r="M51" i="2"/>
  <c r="M53" i="2" s="1"/>
  <c r="L51" i="2"/>
  <c r="K75" i="2" s="1"/>
  <c r="K81" i="2" s="1"/>
  <c r="K51" i="2"/>
  <c r="K76" i="2" s="1"/>
  <c r="K82" i="2" s="1"/>
  <c r="J51" i="2"/>
  <c r="I51" i="2"/>
  <c r="H51" i="2"/>
  <c r="G51" i="2"/>
  <c r="A51" i="2"/>
  <c r="O52" i="2" l="1"/>
  <c r="O42" i="4"/>
  <c r="N53" i="2"/>
  <c r="K93" i="2" s="1"/>
  <c r="O36" i="4"/>
  <c r="O37" i="4"/>
  <c r="O40" i="4"/>
  <c r="O35" i="4"/>
  <c r="O34" i="4"/>
  <c r="K92" i="2"/>
  <c r="L36" i="2" l="1"/>
  <c r="K36" i="2"/>
  <c r="L33" i="2"/>
  <c r="L40" i="4" s="1"/>
  <c r="K33" i="2"/>
  <c r="K40" i="4" s="1"/>
  <c r="O33" i="2"/>
  <c r="O32" i="2"/>
  <c r="O31" i="2"/>
  <c r="O48" i="2" l="1"/>
  <c r="O49" i="2" l="1"/>
  <c r="O51" i="2" s="1"/>
  <c r="O53" i="2" s="1"/>
  <c r="K77" i="2" s="1"/>
  <c r="K83" i="2" s="1"/>
  <c r="R89" i="3"/>
  <c r="S89" i="3"/>
  <c r="T89" i="3"/>
  <c r="Q89" i="3"/>
  <c r="K90" i="3"/>
  <c r="F78" i="3"/>
  <c r="L57" i="3"/>
  <c r="K57" i="3"/>
  <c r="G57" i="3"/>
  <c r="L45" i="3"/>
  <c r="K45" i="3"/>
  <c r="O35" i="3"/>
  <c r="O38" i="3"/>
  <c r="O44" i="3"/>
  <c r="O37" i="3"/>
  <c r="K94" i="2" l="1"/>
  <c r="K26" i="3"/>
  <c r="J77" i="3" l="1"/>
  <c r="L26" i="3"/>
  <c r="O43" i="3"/>
  <c r="O36" i="3"/>
  <c r="M45" i="3"/>
  <c r="O55" i="3"/>
  <c r="O54" i="3"/>
  <c r="O53" i="3"/>
  <c r="N57" i="3"/>
  <c r="M57" i="3"/>
  <c r="A57" i="3"/>
  <c r="K91" i="3" s="1"/>
  <c r="M22" i="3"/>
  <c r="N26" i="3"/>
  <c r="K94" i="3"/>
  <c r="U88" i="3"/>
  <c r="U87" i="3"/>
  <c r="U86" i="3"/>
  <c r="U85" i="3"/>
  <c r="U84" i="3"/>
  <c r="U83" i="3"/>
  <c r="D85" i="3"/>
  <c r="M21" i="4" l="1"/>
  <c r="O21" i="4" s="1"/>
  <c r="O26" i="4" s="1"/>
  <c r="M26" i="3"/>
  <c r="U89" i="3"/>
  <c r="O39" i="3" l="1"/>
  <c r="M51" i="1" l="1"/>
  <c r="M55" i="4" s="1"/>
  <c r="O55" i="4" s="1"/>
  <c r="M38" i="1"/>
  <c r="M39" i="4" s="1"/>
  <c r="O39" i="4" s="1"/>
  <c r="M36" i="1"/>
  <c r="M38" i="4" s="1"/>
  <c r="O38" i="4" s="1"/>
  <c r="O66" i="1"/>
  <c r="O53" i="1"/>
  <c r="O52" i="1"/>
  <c r="F76" i="1"/>
  <c r="J88" i="1"/>
  <c r="H23" i="1"/>
  <c r="O32" i="1" l="1"/>
  <c r="O33" i="1"/>
  <c r="O34" i="1"/>
  <c r="O35" i="1"/>
  <c r="O37" i="1"/>
  <c r="O38" i="1"/>
  <c r="O39" i="1"/>
  <c r="O40" i="1"/>
  <c r="O41" i="1"/>
  <c r="O31" i="1"/>
  <c r="O51" i="1"/>
  <c r="O54" i="1" s="1"/>
  <c r="M23" i="1"/>
  <c r="N54" i="1"/>
  <c r="M54" i="1"/>
  <c r="L54" i="1"/>
  <c r="G68" i="1"/>
  <c r="G23" i="1"/>
  <c r="J91" i="1" s="1"/>
  <c r="O20" i="1"/>
  <c r="O23" i="1" s="1"/>
  <c r="N43" i="1"/>
  <c r="N44" i="1" s="1"/>
  <c r="N23" i="1"/>
  <c r="N24" i="1" s="1"/>
  <c r="O24" i="1" s="1"/>
  <c r="L23" i="1"/>
  <c r="J75" i="1" s="1"/>
  <c r="K23" i="1"/>
  <c r="J76" i="1" s="1"/>
  <c r="D76" i="1" l="1"/>
  <c r="N88" i="1" s="1"/>
  <c r="M88" i="1"/>
  <c r="L88" i="1"/>
  <c r="K92" i="1"/>
  <c r="K88" i="1"/>
  <c r="J92" i="1"/>
  <c r="D83" i="1"/>
  <c r="G43" i="1" l="1"/>
  <c r="H43" i="1"/>
  <c r="I43" i="1"/>
  <c r="A43" i="1"/>
  <c r="L89" i="1" s="1"/>
  <c r="K41" i="1"/>
  <c r="K40" i="1"/>
  <c r="K39" i="4" s="1"/>
  <c r="K35" i="1"/>
  <c r="K36" i="4" s="1"/>
  <c r="K34" i="1"/>
  <c r="L41" i="1"/>
  <c r="L40" i="1"/>
  <c r="L38" i="1"/>
  <c r="L39" i="4" s="1"/>
  <c r="L37" i="1"/>
  <c r="L36" i="1"/>
  <c r="L38" i="4" s="1"/>
  <c r="L35" i="1"/>
  <c r="L36" i="4" s="1"/>
  <c r="L34" i="1"/>
  <c r="L43" i="1" l="1"/>
  <c r="L37" i="4"/>
  <c r="K43" i="1"/>
  <c r="K37" i="4"/>
  <c r="L90" i="1"/>
  <c r="L91" i="1"/>
  <c r="M43" i="1"/>
  <c r="L92" i="1" s="1"/>
  <c r="O36" i="1"/>
  <c r="M89" i="4" l="1"/>
  <c r="K89" i="4" l="1"/>
  <c r="M54" i="4"/>
  <c r="M43" i="4"/>
  <c r="O43" i="4" s="1"/>
  <c r="O39" i="2"/>
  <c r="N40" i="2"/>
  <c r="M40" i="2"/>
  <c r="N23" i="2"/>
  <c r="O38" i="2"/>
  <c r="O37" i="2"/>
  <c r="O36" i="2"/>
  <c r="O64" i="2"/>
  <c r="O63" i="2"/>
  <c r="A65" i="4"/>
  <c r="O44" i="4"/>
  <c r="G26" i="3"/>
  <c r="J93" i="3" s="1"/>
  <c r="G23" i="2"/>
  <c r="J91" i="2" s="1"/>
  <c r="J23" i="2"/>
  <c r="K23" i="2"/>
  <c r="J76" i="2" s="1"/>
  <c r="L23" i="2"/>
  <c r="J75" i="2" s="1"/>
  <c r="J81" i="2" s="1"/>
  <c r="N88" i="2"/>
  <c r="L92" i="2" l="1"/>
  <c r="O45" i="4"/>
  <c r="O65" i="4"/>
  <c r="O66" i="4"/>
  <c r="M45" i="4"/>
  <c r="L93" i="4" s="1"/>
  <c r="G45" i="4"/>
  <c r="L92" i="4" s="1"/>
  <c r="L26" i="4"/>
  <c r="A40" i="2"/>
  <c r="K45" i="4" l="1"/>
  <c r="A23" i="2"/>
  <c r="J89" i="2" s="1"/>
  <c r="A67" i="4" l="1"/>
  <c r="M90" i="3"/>
  <c r="J90" i="3"/>
  <c r="L90" i="3"/>
  <c r="A45" i="3"/>
  <c r="L91" i="3" s="1"/>
  <c r="O40" i="3"/>
  <c r="O41" i="3"/>
  <c r="O42" i="3"/>
  <c r="L77" i="3" l="1"/>
  <c r="O42" i="1"/>
  <c r="O43" i="1" s="1"/>
  <c r="O67" i="1"/>
  <c r="L75" i="1"/>
  <c r="L84" i="3" l="1"/>
  <c r="L81" i="1"/>
  <c r="G54" i="1"/>
  <c r="K91" i="1" l="1"/>
  <c r="F79" i="1"/>
  <c r="N91" i="1" s="1"/>
  <c r="A68" i="1"/>
  <c r="G68" i="2"/>
  <c r="N90" i="3"/>
  <c r="M89" i="1" l="1"/>
  <c r="A68" i="2"/>
  <c r="A69" i="4" l="1"/>
  <c r="M90" i="4" s="1"/>
  <c r="M91" i="2" l="1"/>
  <c r="K90" i="2"/>
  <c r="A70" i="3" l="1"/>
  <c r="M91" i="3" s="1"/>
  <c r="H68" i="2"/>
  <c r="I68" i="2"/>
  <c r="J68" i="2"/>
  <c r="K68" i="2"/>
  <c r="L68" i="2"/>
  <c r="M68" i="2"/>
  <c r="N68" i="2"/>
  <c r="F81" i="2" s="1"/>
  <c r="F82" i="4" s="1"/>
  <c r="T65" i="2"/>
  <c r="U65" i="2" s="1"/>
  <c r="N67" i="4"/>
  <c r="M67" i="4"/>
  <c r="L67" i="4"/>
  <c r="K67" i="4"/>
  <c r="H67" i="4"/>
  <c r="I67" i="4"/>
  <c r="G67" i="4"/>
  <c r="H26" i="4"/>
  <c r="I26" i="4"/>
  <c r="O18" i="2"/>
  <c r="O23" i="2" s="1"/>
  <c r="M23" i="2"/>
  <c r="J92" i="2" s="1"/>
  <c r="P65" i="2"/>
  <c r="O65" i="2"/>
  <c r="P34" i="2"/>
  <c r="P62" i="2"/>
  <c r="P66" i="2"/>
  <c r="P67" i="2"/>
  <c r="N70" i="3"/>
  <c r="M70" i="3"/>
  <c r="F82" i="3" s="1"/>
  <c r="N94" i="3" s="1"/>
  <c r="L70" i="3"/>
  <c r="M76" i="3" s="1"/>
  <c r="M83" i="3" s="1"/>
  <c r="K70" i="3"/>
  <c r="M77" i="3" s="1"/>
  <c r="M84" i="3" s="1"/>
  <c r="J70" i="3"/>
  <c r="I70" i="3"/>
  <c r="H70" i="3"/>
  <c r="M92" i="3" s="1"/>
  <c r="G70" i="3"/>
  <c r="M93" i="3" s="1"/>
  <c r="O69" i="3"/>
  <c r="O68" i="3"/>
  <c r="O67" i="3"/>
  <c r="O66" i="3"/>
  <c r="N58" i="3"/>
  <c r="K76" i="3"/>
  <c r="K83" i="3" s="1"/>
  <c r="K77" i="3"/>
  <c r="K84" i="3" s="1"/>
  <c r="J57" i="3"/>
  <c r="I57" i="3"/>
  <c r="H57" i="3"/>
  <c r="K93" i="3"/>
  <c r="O56" i="3"/>
  <c r="O57" i="3" s="1"/>
  <c r="N45" i="3"/>
  <c r="N46" i="3" s="1"/>
  <c r="L76" i="3"/>
  <c r="J45" i="3"/>
  <c r="I45" i="3"/>
  <c r="H45" i="3"/>
  <c r="G45" i="3"/>
  <c r="L93" i="3" s="1"/>
  <c r="O34" i="3"/>
  <c r="O45" i="3" s="1"/>
  <c r="N27" i="3"/>
  <c r="O27" i="3" s="1"/>
  <c r="J94" i="3"/>
  <c r="J76" i="3"/>
  <c r="I26" i="3"/>
  <c r="H26" i="3"/>
  <c r="J92" i="3" s="1"/>
  <c r="A26" i="3"/>
  <c r="J91" i="3" s="1"/>
  <c r="R25" i="3"/>
  <c r="J18" i="3"/>
  <c r="F80" i="2" l="1"/>
  <c r="F81" i="4" s="1"/>
  <c r="L92" i="3"/>
  <c r="F83" i="3"/>
  <c r="N95" i="3" s="1"/>
  <c r="K92" i="3"/>
  <c r="N71" i="3"/>
  <c r="O71" i="3" s="1"/>
  <c r="M94" i="3"/>
  <c r="O28" i="3"/>
  <c r="J78" i="3" s="1"/>
  <c r="J83" i="3"/>
  <c r="N92" i="2"/>
  <c r="M92" i="2"/>
  <c r="L45" i="4"/>
  <c r="L76" i="4" s="1"/>
  <c r="L82" i="4" s="1"/>
  <c r="J84" i="3"/>
  <c r="N77" i="3"/>
  <c r="N84" i="3" s="1"/>
  <c r="L83" i="3"/>
  <c r="N76" i="3"/>
  <c r="N83" i="3" s="1"/>
  <c r="F79" i="3"/>
  <c r="N91" i="3" s="1"/>
  <c r="M59" i="3"/>
  <c r="M28" i="3"/>
  <c r="M47" i="3"/>
  <c r="L94" i="3"/>
  <c r="J26" i="3"/>
  <c r="F80" i="3"/>
  <c r="N92" i="3" s="1"/>
  <c r="M90" i="2"/>
  <c r="O70" i="3"/>
  <c r="M72" i="3"/>
  <c r="N69" i="4"/>
  <c r="M69" i="4"/>
  <c r="M93" i="4" s="1"/>
  <c r="O67" i="4"/>
  <c r="L69" i="4"/>
  <c r="M76" i="4" s="1"/>
  <c r="M82" i="4" s="1"/>
  <c r="R65" i="2"/>
  <c r="F81" i="3"/>
  <c r="N93" i="3" s="1"/>
  <c r="O46" i="3"/>
  <c r="O47" i="3" s="1"/>
  <c r="L78" i="3" s="1"/>
  <c r="L95" i="3" s="1"/>
  <c r="N47" i="3"/>
  <c r="O58" i="3"/>
  <c r="N59" i="3"/>
  <c r="N28" i="3"/>
  <c r="J95" i="3" s="1"/>
  <c r="F84" i="3" l="1"/>
  <c r="F85" i="3" s="1"/>
  <c r="F77" i="3" s="1"/>
  <c r="N72" i="3"/>
  <c r="M95" i="3" s="1"/>
  <c r="J79" i="3"/>
  <c r="J86" i="3" s="1"/>
  <c r="O72" i="3"/>
  <c r="O59" i="3"/>
  <c r="K78" i="3" s="1"/>
  <c r="K95" i="3" s="1"/>
  <c r="L85" i="3"/>
  <c r="L96" i="3"/>
  <c r="L79" i="3"/>
  <c r="L86" i="3" s="1"/>
  <c r="J96" i="3"/>
  <c r="J85" i="3"/>
  <c r="M78" i="3" l="1"/>
  <c r="M85" i="3" s="1"/>
  <c r="N78" i="3"/>
  <c r="N96" i="3" s="1"/>
  <c r="M96" i="3"/>
  <c r="K85" i="3"/>
  <c r="K96" i="3"/>
  <c r="K79" i="3"/>
  <c r="M79" i="3"/>
  <c r="M86" i="3" s="1"/>
  <c r="N85" i="3" l="1"/>
  <c r="K86" i="3"/>
  <c r="N79" i="3"/>
  <c r="N86" i="3" s="1"/>
  <c r="T88" i="4"/>
  <c r="S88" i="4"/>
  <c r="R88" i="4"/>
  <c r="Q88" i="4"/>
  <c r="U87" i="4"/>
  <c r="U86" i="4"/>
  <c r="U85" i="4"/>
  <c r="U84" i="4"/>
  <c r="U83" i="4"/>
  <c r="U82" i="4"/>
  <c r="T79" i="4"/>
  <c r="S79" i="4"/>
  <c r="R79" i="4"/>
  <c r="Q79" i="4"/>
  <c r="U78" i="4"/>
  <c r="U77" i="4"/>
  <c r="U76" i="4"/>
  <c r="N70" i="4"/>
  <c r="O70" i="4" s="1"/>
  <c r="K69" i="4"/>
  <c r="M77" i="4" s="1"/>
  <c r="M83" i="4" s="1"/>
  <c r="J69" i="4"/>
  <c r="I69" i="4"/>
  <c r="H69" i="4"/>
  <c r="G69" i="4"/>
  <c r="M92" i="4" s="1"/>
  <c r="O68" i="4"/>
  <c r="N45" i="4"/>
  <c r="N46" i="4" s="1"/>
  <c r="O46" i="4" s="1"/>
  <c r="L77" i="4"/>
  <c r="L83" i="4" s="1"/>
  <c r="J45" i="4"/>
  <c r="I45" i="4"/>
  <c r="H45" i="4"/>
  <c r="L91" i="4" s="1"/>
  <c r="A45" i="4"/>
  <c r="L90" i="4" s="1"/>
  <c r="N26" i="4"/>
  <c r="M26" i="4"/>
  <c r="J93" i="4" s="1"/>
  <c r="J76" i="4"/>
  <c r="J82" i="4" s="1"/>
  <c r="J77" i="4"/>
  <c r="J26" i="4"/>
  <c r="J92" i="4"/>
  <c r="K88" i="2"/>
  <c r="N69" i="2"/>
  <c r="M75" i="2"/>
  <c r="M81" i="2" s="1"/>
  <c r="M89" i="2"/>
  <c r="O67" i="2"/>
  <c r="O66" i="2"/>
  <c r="O62" i="2"/>
  <c r="N93" i="2"/>
  <c r="L40" i="2"/>
  <c r="K40" i="2"/>
  <c r="L76" i="2" s="1"/>
  <c r="J40" i="2"/>
  <c r="I40" i="2"/>
  <c r="H40" i="2"/>
  <c r="G40" i="2"/>
  <c r="O35" i="2"/>
  <c r="O34" i="2"/>
  <c r="N24" i="2"/>
  <c r="N25" i="2" s="1"/>
  <c r="J93" i="2" s="1"/>
  <c r="I23" i="2"/>
  <c r="H23" i="2"/>
  <c r="L91" i="2" l="1"/>
  <c r="F79" i="2"/>
  <c r="F80" i="4" s="1"/>
  <c r="L75" i="2"/>
  <c r="L81" i="2" s="1"/>
  <c r="O68" i="2"/>
  <c r="J90" i="2"/>
  <c r="O40" i="2"/>
  <c r="M91" i="4"/>
  <c r="H56" i="4"/>
  <c r="I56" i="4"/>
  <c r="J56" i="4"/>
  <c r="L56" i="4"/>
  <c r="K76" i="4" s="1"/>
  <c r="K82" i="4" s="1"/>
  <c r="K56" i="4"/>
  <c r="K77" i="4" s="1"/>
  <c r="K83" i="4" s="1"/>
  <c r="J91" i="4"/>
  <c r="K91" i="2"/>
  <c r="G56" i="4"/>
  <c r="K92" i="4" s="1"/>
  <c r="J83" i="4"/>
  <c r="L89" i="2"/>
  <c r="F77" i="2"/>
  <c r="L90" i="2"/>
  <c r="N27" i="4"/>
  <c r="O27" i="4" s="1"/>
  <c r="O28" i="4" s="1"/>
  <c r="J78" i="4" s="1"/>
  <c r="U88" i="4"/>
  <c r="M47" i="4"/>
  <c r="K89" i="2"/>
  <c r="F78" i="2"/>
  <c r="F79" i="4" s="1"/>
  <c r="N91" i="2"/>
  <c r="O69" i="4"/>
  <c r="O71" i="4" s="1"/>
  <c r="M78" i="4" s="1"/>
  <c r="M42" i="2"/>
  <c r="M71" i="4"/>
  <c r="M76" i="2"/>
  <c r="M82" i="2" s="1"/>
  <c r="L82" i="2"/>
  <c r="U79" i="4"/>
  <c r="N47" i="4"/>
  <c r="L94" i="4" s="1"/>
  <c r="N71" i="4"/>
  <c r="M94" i="4" s="1"/>
  <c r="M28" i="4"/>
  <c r="O69" i="2"/>
  <c r="N70" i="2"/>
  <c r="M93" i="2" s="1"/>
  <c r="O24" i="2"/>
  <c r="O25" i="2" s="1"/>
  <c r="J77" i="2" s="1"/>
  <c r="M25" i="2"/>
  <c r="N41" i="2"/>
  <c r="M70" i="2"/>
  <c r="N89" i="2" l="1"/>
  <c r="F78" i="4"/>
  <c r="O41" i="2"/>
  <c r="F82" i="2"/>
  <c r="F83" i="4" s="1"/>
  <c r="F84" i="4" s="1"/>
  <c r="N77" i="4"/>
  <c r="K91" i="4"/>
  <c r="O47" i="4"/>
  <c r="L78" i="4" s="1"/>
  <c r="O56" i="4"/>
  <c r="A56" i="4"/>
  <c r="K90" i="4" s="1"/>
  <c r="M95" i="4"/>
  <c r="M56" i="4"/>
  <c r="K93" i="4" s="1"/>
  <c r="N75" i="2"/>
  <c r="N81" i="2" s="1"/>
  <c r="N90" i="2"/>
  <c r="N28" i="4"/>
  <c r="J94" i="4" s="1"/>
  <c r="J82" i="2"/>
  <c r="N76" i="2"/>
  <c r="N82" i="2" s="1"/>
  <c r="O42" i="2"/>
  <c r="L77" i="2" s="1"/>
  <c r="O70" i="2"/>
  <c r="M77" i="2" s="1"/>
  <c r="M83" i="2" s="1"/>
  <c r="N42" i="2"/>
  <c r="L93" i="2" s="1"/>
  <c r="I23" i="1"/>
  <c r="J23" i="1"/>
  <c r="J89" i="1"/>
  <c r="O65" i="1"/>
  <c r="N77" i="2" l="1"/>
  <c r="N83" i="2" s="1"/>
  <c r="L83" i="2"/>
  <c r="L94" i="2"/>
  <c r="J90" i="1"/>
  <c r="F83" i="2"/>
  <c r="F75" i="2" s="1"/>
  <c r="M84" i="4"/>
  <c r="M58" i="4"/>
  <c r="N56" i="4"/>
  <c r="J84" i="4"/>
  <c r="J81" i="1"/>
  <c r="J82" i="1"/>
  <c r="M94" i="2"/>
  <c r="J95" i="4"/>
  <c r="M79" i="4"/>
  <c r="M85" i="4" s="1"/>
  <c r="H54" i="1"/>
  <c r="I54" i="1"/>
  <c r="J54" i="1"/>
  <c r="K54" i="1"/>
  <c r="K76" i="1" s="1"/>
  <c r="K82" i="1" s="1"/>
  <c r="K90" i="1" l="1"/>
  <c r="L84" i="4"/>
  <c r="L95" i="4"/>
  <c r="N94" i="2"/>
  <c r="N57" i="4"/>
  <c r="O57" i="4" s="1"/>
  <c r="O58" i="4" s="1"/>
  <c r="K78" i="4" s="1"/>
  <c r="N78" i="4" s="1"/>
  <c r="K78" i="2"/>
  <c r="K84" i="2" s="1"/>
  <c r="L78" i="2"/>
  <c r="L84" i="2" s="1"/>
  <c r="K75" i="1"/>
  <c r="M78" i="2"/>
  <c r="M84" i="2" s="1"/>
  <c r="L79" i="4"/>
  <c r="L85" i="4" s="1"/>
  <c r="J83" i="2"/>
  <c r="J78" i="2"/>
  <c r="N89" i="4"/>
  <c r="N68" i="1"/>
  <c r="F81" i="1" s="1"/>
  <c r="M68" i="1"/>
  <c r="L68" i="1"/>
  <c r="M75" i="1" s="1"/>
  <c r="K68" i="1"/>
  <c r="M76" i="1" s="1"/>
  <c r="M82" i="1" s="1"/>
  <c r="J68" i="1"/>
  <c r="I68" i="1"/>
  <c r="H68" i="1"/>
  <c r="M91" i="1"/>
  <c r="O64" i="1"/>
  <c r="O63" i="1"/>
  <c r="M56" i="1"/>
  <c r="N55" i="1"/>
  <c r="A54" i="1"/>
  <c r="L76" i="1"/>
  <c r="J43" i="1"/>
  <c r="M25" i="1"/>
  <c r="M90" i="1" l="1"/>
  <c r="O68" i="1"/>
  <c r="F78" i="1"/>
  <c r="N90" i="1" s="1"/>
  <c r="K89" i="1"/>
  <c r="F77" i="1"/>
  <c r="N93" i="1"/>
  <c r="N58" i="4"/>
  <c r="K94" i="4" s="1"/>
  <c r="N95" i="4"/>
  <c r="N75" i="1"/>
  <c r="N81" i="1" s="1"/>
  <c r="K81" i="1"/>
  <c r="L82" i="1"/>
  <c r="M81" i="1"/>
  <c r="N76" i="1"/>
  <c r="N82" i="1" s="1"/>
  <c r="M45" i="1"/>
  <c r="J84" i="2"/>
  <c r="J94" i="2"/>
  <c r="N78" i="2"/>
  <c r="N84" i="2" s="1"/>
  <c r="N69" i="1"/>
  <c r="F82" i="1" s="1"/>
  <c r="M70" i="1"/>
  <c r="N56" i="1"/>
  <c r="K93" i="1" s="1"/>
  <c r="O55" i="1"/>
  <c r="N25" i="1"/>
  <c r="J93" i="1" s="1"/>
  <c r="N89" i="1" l="1"/>
  <c r="N90" i="4"/>
  <c r="N91" i="4"/>
  <c r="F80" i="1"/>
  <c r="N92" i="1" s="1"/>
  <c r="M92" i="1"/>
  <c r="O56" i="1"/>
  <c r="K84" i="4"/>
  <c r="K95" i="4"/>
  <c r="N92" i="4"/>
  <c r="N70" i="1"/>
  <c r="M93" i="1" s="1"/>
  <c r="O44" i="1"/>
  <c r="O45" i="1" s="1"/>
  <c r="L77" i="1" s="1"/>
  <c r="N45" i="1"/>
  <c r="L93" i="1" s="1"/>
  <c r="N76" i="4"/>
  <c r="N82" i="4" s="1"/>
  <c r="J79" i="4"/>
  <c r="O69" i="1"/>
  <c r="O70" i="1" s="1"/>
  <c r="M77" i="1" s="1"/>
  <c r="O25" i="1"/>
  <c r="J77" i="1" s="1"/>
  <c r="J94" i="1" s="1"/>
  <c r="F83" i="1" l="1"/>
  <c r="F75" i="1" s="1"/>
  <c r="K77" i="1"/>
  <c r="K83" i="1" s="1"/>
  <c r="J78" i="1"/>
  <c r="J85" i="4"/>
  <c r="L94" i="1"/>
  <c r="L83" i="1"/>
  <c r="L78" i="1"/>
  <c r="L84" i="1" s="1"/>
  <c r="J83" i="1"/>
  <c r="M94" i="1"/>
  <c r="M83" i="1"/>
  <c r="M78" i="1"/>
  <c r="M84" i="1" s="1"/>
  <c r="N83" i="4"/>
  <c r="N93" i="4" l="1"/>
  <c r="N77" i="1"/>
  <c r="N94" i="1" s="1"/>
  <c r="K78" i="1"/>
  <c r="K84" i="1" s="1"/>
  <c r="K94" i="1"/>
  <c r="J84" i="1"/>
  <c r="N94" i="4"/>
  <c r="N78" i="1" l="1"/>
  <c r="N84" i="1" s="1"/>
  <c r="N83" i="1"/>
  <c r="K79" i="4"/>
  <c r="K85" i="4" l="1"/>
  <c r="N79" i="4"/>
  <c r="N85" i="4" s="1"/>
  <c r="N84" i="4"/>
  <c r="F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tc={94FF534A-8EFD-43B1-8563-6A7155560070}</author>
    <author>tc={4965D9A1-A6C4-4724-8748-7BC5F31EBFCC}</author>
  </authors>
  <commentList>
    <comment ref="C18" authorId="0" shapeId="0" xr:uid="{94FF534A-8EFD-43B1-8563-6A7155560070}">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 ref="C22" authorId="1" shapeId="0" xr:uid="{4965D9A1-A6C4-4724-8748-7BC5F31EBFCC}">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tc={B6FFB4F7-5294-4EC8-A722-CF0CF7E33B0A}</author>
    <author>tc={8F53D9BE-0430-49DA-A941-02DD3A3E6A7C}</author>
  </authors>
  <commentList>
    <comment ref="C19" authorId="0" shapeId="0" xr:uid="{B6FFB4F7-5294-4EC8-A722-CF0CF7E33B0A}">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 ref="C22" authorId="1" shapeId="0" xr:uid="{8F53D9BE-0430-49DA-A941-02DD3A3E6A7C}">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tc={63C5CD5F-D1AC-41C5-9649-64F5B130B9EF}</author>
    <author>tc={64327B6A-3D41-4983-B483-6F8930E63076}</author>
    <author>tc={41C67423-F5E9-46FC-A126-1A9EBE8CBAE7}</author>
  </authors>
  <commentList>
    <comment ref="C18" authorId="0" shapeId="0" xr:uid="{63C5CD5F-D1AC-41C5-9649-64F5B130B9EF}">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 ref="C20" authorId="1" shapeId="0" xr:uid="{64327B6A-3D41-4983-B483-6F8930E63076}">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 ref="C23" authorId="2" shapeId="0" xr:uid="{41C67423-F5E9-46FC-A126-1A9EBE8CBAE7}">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List>
</comments>
</file>

<file path=xl/sharedStrings.xml><?xml version="1.0" encoding="utf-8"?>
<sst xmlns="http://schemas.openxmlformats.org/spreadsheetml/2006/main" count="1139" uniqueCount="283">
  <si>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</si>
  <si>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</si>
  <si>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</si>
  <si>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</si>
  <si>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</si>
  <si>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 xml:space="preserve">DEPARTAMENTO DE AGRICULTURA COMPETITIVA           </t>
  </si>
  <si>
    <t>No.</t>
  </si>
  <si>
    <t>ACTIVIDADES</t>
  </si>
  <si>
    <t>COORDINADOR  CONIAF</t>
  </si>
  <si>
    <t>FECHA</t>
  </si>
  <si>
    <t>LUGAR</t>
  </si>
  <si>
    <t>HORAS de ACTIVIDADES</t>
  </si>
  <si>
    <t>TÉCNICOS BENEFICIADOS</t>
  </si>
  <si>
    <t xml:space="preserve">COSTO LOGÍSTICO       </t>
  </si>
  <si>
    <t xml:space="preserve">COSTO FACILITADORES  </t>
  </si>
  <si>
    <t xml:space="preserve">COSTO TOTAL </t>
  </si>
  <si>
    <t xml:space="preserve"> </t>
  </si>
  <si>
    <t>MUJERES</t>
  </si>
  <si>
    <t xml:space="preserve"> FACILITADORES</t>
  </si>
  <si>
    <t>NOMBRE DE LA ACTIVIDAD</t>
  </si>
  <si>
    <t>HOMBRES</t>
  </si>
  <si>
    <t>COMBUSTIBLE</t>
  </si>
  <si>
    <t>VIATICOS</t>
  </si>
  <si>
    <t>Victor Payano y Maldané Cuello</t>
  </si>
  <si>
    <t>SUB-TOTAL</t>
  </si>
  <si>
    <t>Legislación  ISR (10% sobre costo  facilitadores)</t>
  </si>
  <si>
    <t xml:space="preserve">TOTAL </t>
  </si>
  <si>
    <t xml:space="preserve">DEPARTAMENTO DE REDUCCIÓN DE LA POBREZA RURAL </t>
  </si>
  <si>
    <t xml:space="preserve">HORAS </t>
  </si>
  <si>
    <t xml:space="preserve"> César Montero y Bienvenido Carvajal</t>
  </si>
  <si>
    <t>Juan Valdez</t>
  </si>
  <si>
    <t>TOTAL</t>
  </si>
  <si>
    <t>DEPARTAMENTO DE ACCESO A LAS CIENCIAS MODERNAS</t>
  </si>
  <si>
    <t>Jose Cepeda</t>
  </si>
  <si>
    <t xml:space="preserve">DEPARTAMENTO DE MEDIO AMBIENTE Y RECURSOS NATURALES         </t>
  </si>
  <si>
    <t>HORAS TRANSFE-RENCIA</t>
  </si>
  <si>
    <t>COSTO TOTAL</t>
  </si>
  <si>
    <t>José A. Nova</t>
  </si>
  <si>
    <t>San Rafael del Yuma</t>
  </si>
  <si>
    <t>Nisibon, Higuey .</t>
  </si>
  <si>
    <t>San Rafel del Yuma(Batey Baiguà), Higuey</t>
  </si>
  <si>
    <t xml:space="preserve">RESUMEN PROGRAMACIÓN </t>
  </si>
  <si>
    <t>DPTO</t>
  </si>
  <si>
    <t>Agric. Competitiva</t>
  </si>
  <si>
    <t>Ciencias Modernas</t>
  </si>
  <si>
    <t>Podresza Rural</t>
  </si>
  <si>
    <t>Medio Amb. Y Rec. Nat.</t>
  </si>
  <si>
    <t>PRESUPUESTO TOTAL</t>
  </si>
  <si>
    <t>TRANSFERENCIAS</t>
  </si>
  <si>
    <t>COMBUST.</t>
  </si>
  <si>
    <t>INSTALACIÓN Y VISITAS A PARCELAS DE VALIDACIÓN</t>
  </si>
  <si>
    <t>PROYECTOS</t>
  </si>
  <si>
    <t>TECNICOS BENEFICIADOS</t>
  </si>
  <si>
    <t>HORAS DE ACTIVIDAD</t>
  </si>
  <si>
    <t xml:space="preserve">COSTO LOGÍSTICO         (RD$) </t>
  </si>
  <si>
    <t xml:space="preserve">COSTO FACILITADORES (RD$) </t>
  </si>
  <si>
    <t>OTROS COSTOS (Ley ISR)</t>
  </si>
  <si>
    <t xml:space="preserve">COSTO TOTAL      (RD$) </t>
  </si>
  <si>
    <t>Johuan Santos y Alexis Peguero</t>
  </si>
  <si>
    <t>La Vega</t>
  </si>
  <si>
    <t>PRESUPUESTO TOTAL 2024 (RD$)</t>
  </si>
  <si>
    <t>Juan Ramon Cedano Mateo</t>
  </si>
  <si>
    <t>Salon Sosa Nata</t>
  </si>
  <si>
    <t>Miguel Angel Rodriguez</t>
  </si>
  <si>
    <r>
      <t>Monitoreo del grado de germinacion de</t>
    </r>
    <r>
      <rPr>
        <b/>
        <sz val="12"/>
        <rFont val="Cambria"/>
        <family val="1"/>
      </rPr>
      <t>l guandul</t>
    </r>
    <r>
      <rPr>
        <sz val="11"/>
        <rFont val="Cambria"/>
        <family val="1"/>
      </rPr>
      <t xml:space="preserve"> en la parcela de TT instalada  en la comunidad de Mata Yaya. Monitoreo del control quimico de malezas realizado en la parcela </t>
    </r>
  </si>
  <si>
    <r>
      <t>Se realizaron mediciones de cosecha de</t>
    </r>
    <r>
      <rPr>
        <b/>
        <sz val="12"/>
        <rFont val="Cambria"/>
        <family val="1"/>
      </rPr>
      <t xml:space="preserve"> plàtano </t>
    </r>
    <r>
      <rPr>
        <sz val="11"/>
        <rFont val="Cambria"/>
        <family val="1"/>
      </rPr>
      <t>en la parcela de Tamayo correspondiente al quinto corte. Con relacion a la parcela ubicada en Galvan, la misma fue entregada al pripietario por razones de abandono de este.</t>
    </r>
  </si>
  <si>
    <t>Mata Yaya, Provincia Elias Piña</t>
  </si>
  <si>
    <t>Hondo Valle(Elias Piña)</t>
  </si>
  <si>
    <t>Tamayo, Galvan, Bahoruco</t>
  </si>
  <si>
    <t>Elpio Avilès/Angel Adames.</t>
  </si>
  <si>
    <t>5-6/01/24</t>
  </si>
  <si>
    <t>10-11/01/24</t>
  </si>
  <si>
    <r>
      <t>Visita coordinaciòn  Instalacion Parcela de</t>
    </r>
    <r>
      <rPr>
        <b/>
        <sz val="11"/>
        <rFont val="Cambria"/>
        <family val="1"/>
      </rPr>
      <t xml:space="preserve"> Arroz </t>
    </r>
    <r>
      <rPr>
        <sz val="11"/>
        <rFont val="Cambria"/>
        <family val="1"/>
      </rPr>
      <t>.</t>
    </r>
  </si>
  <si>
    <r>
      <t>Visita técnica de seguimiento fitosanitario y realización de la 1ra fertilización de parcela demostrativa y validación de tecnologías, para el control del Piogàn de la</t>
    </r>
    <r>
      <rPr>
        <b/>
        <sz val="11"/>
        <color theme="1"/>
        <rFont val="Cambria"/>
        <family val="1"/>
      </rPr>
      <t xml:space="preserve"> batata, c</t>
    </r>
    <r>
      <rPr>
        <sz val="11"/>
        <color theme="1"/>
        <rFont val="Cambria"/>
        <family val="1"/>
      </rPr>
      <t>on el uso de feromona y Beauveria bassiana.</t>
    </r>
  </si>
  <si>
    <t>Hato mayor del Rey</t>
  </si>
  <si>
    <r>
      <t>Visita Técnica de supervisión y coordinación de las labores culturales en 
la parcela demostrativa de tecnologías para el cultivo de</t>
    </r>
    <r>
      <rPr>
        <b/>
        <sz val="11"/>
        <rFont val="Cambria"/>
        <family val="1"/>
      </rPr>
      <t xml:space="preserve"> batata </t>
    </r>
  </si>
  <si>
    <t>23-24/01/2024</t>
  </si>
  <si>
    <r>
      <t xml:space="preserve">Visita para coordinar el montaje y desarrollo de un “Curso sobre tecnologías de </t>
    </r>
    <r>
      <rPr>
        <b/>
        <sz val="11"/>
        <rFont val="Cambria"/>
        <family val="1"/>
      </rPr>
      <t>cacao</t>
    </r>
    <r>
      <rPr>
        <sz val="11"/>
        <rFont val="Cambria"/>
        <family val="1"/>
      </rPr>
      <t xml:space="preserve"> para Alejandro Maria Nuñezla innovación y competitividad</t>
    </r>
  </si>
  <si>
    <t>Alejandro Maria Nuñez</t>
  </si>
  <si>
    <t>Victor manuel Landa</t>
  </si>
  <si>
    <r>
      <t xml:space="preserve">Pago preparacion Suelos parcela de </t>
    </r>
    <r>
      <rPr>
        <b/>
        <sz val="11"/>
        <rFont val="Cambria"/>
        <family val="1"/>
      </rPr>
      <t>Batata</t>
    </r>
    <r>
      <rPr>
        <sz val="11"/>
        <rFont val="Cambria"/>
        <family val="1"/>
      </rPr>
      <t xml:space="preserve"> en Higuey, Yuma</t>
    </r>
  </si>
  <si>
    <t>EJECUCION EN VALORES $RD.  NETO</t>
  </si>
  <si>
    <t xml:space="preserve">EJECUCION PORCENTUAL </t>
  </si>
  <si>
    <t xml:space="preserve">PROGRAMACION INDICADORES </t>
  </si>
  <si>
    <r>
      <t xml:space="preserve"> Visita a Mata Yaya Elias Piña, seguimiento y monitoreo fitosaitario a parcela de validacion y transferencia de tecnologias  del cultivo de </t>
    </r>
    <r>
      <rPr>
        <b/>
        <sz val="11"/>
        <rFont val="Cambria"/>
        <family val="1"/>
      </rPr>
      <t xml:space="preserve">Aguacate </t>
    </r>
    <r>
      <rPr>
        <sz val="11"/>
        <rFont val="Cambria"/>
        <family val="1"/>
      </rPr>
      <t>en Juan Santiago, Hondo Valle.</t>
    </r>
  </si>
  <si>
    <t>22-24/2024</t>
  </si>
  <si>
    <t>SEGUIMIENTO</t>
  </si>
  <si>
    <t>BENEFICIARIOS</t>
  </si>
  <si>
    <t>HORAS/ACTV.</t>
  </si>
  <si>
    <t>COSTO LOG.</t>
  </si>
  <si>
    <t>FACILITADORES</t>
  </si>
  <si>
    <t xml:space="preserve"> COSTOFACIL.</t>
  </si>
  <si>
    <t>EJECUCION %  INDICADORES POR DEPARTAMENTOS</t>
  </si>
  <si>
    <t>Julio De Oleo</t>
  </si>
  <si>
    <t>Pedernales</t>
  </si>
  <si>
    <t>Paraiso, Barahona</t>
  </si>
  <si>
    <t>Neyba(Batey 4)</t>
  </si>
  <si>
    <t>Dajabon</t>
  </si>
  <si>
    <t>27-29 feb.</t>
  </si>
  <si>
    <t xml:space="preserve">EJECUCION PORCENTUAL EN$ RD. </t>
  </si>
  <si>
    <t>Enero-Marzo</t>
  </si>
  <si>
    <t>Juan Santiago, Provincia Elias Piña</t>
  </si>
  <si>
    <t>Tabara Arriba, Azua.</t>
  </si>
  <si>
    <t>Juan  Valdez</t>
  </si>
  <si>
    <r>
      <t>Coordinar y verificar desrrollo , para programacionde cosecha parcela de validacion</t>
    </r>
    <r>
      <rPr>
        <b/>
        <sz val="12"/>
        <rFont val="Cambria"/>
        <family val="1"/>
      </rPr>
      <t xml:space="preserve"> Arroz</t>
    </r>
  </si>
  <si>
    <t xml:space="preserve">Nisibon, Higuey </t>
  </si>
  <si>
    <t>Preparado por:</t>
  </si>
  <si>
    <t>Aprobado por:</t>
  </si>
  <si>
    <t>Ing. Carlos Ml. Sanquintin Beras</t>
  </si>
  <si>
    <t>Dra. Ana Maria Barcelo Larocca</t>
  </si>
  <si>
    <t>Enc. Div. de Planificacion y Desarrollo</t>
  </si>
  <si>
    <t>Directora Ejecutiva</t>
  </si>
  <si>
    <t>Pobreza Rural</t>
  </si>
  <si>
    <t>Neiba</t>
  </si>
  <si>
    <t>Paraíso, Barahona</t>
  </si>
  <si>
    <t>Azua</t>
  </si>
  <si>
    <t>Atiles Peguero</t>
  </si>
  <si>
    <r>
      <t xml:space="preserve">Transferencia tecnológica en la parcela demostrativa de </t>
    </r>
    <r>
      <rPr>
        <b/>
        <sz val="11"/>
        <color theme="1"/>
        <rFont val="Cambria"/>
        <family val="1"/>
      </rPr>
      <t>leche y carne</t>
    </r>
    <r>
      <rPr>
        <sz val="11"/>
        <color theme="1"/>
        <rFont val="Cambria"/>
        <family val="1"/>
      </rPr>
      <t xml:space="preserve"> (parcela de Sanidad). Se realizo la primera desparasitación de los animales con noramectina.</t>
    </r>
  </si>
  <si>
    <t>EJECUCION ABRIL</t>
  </si>
  <si>
    <t>22-23/04/2024</t>
  </si>
  <si>
    <r>
      <t xml:space="preserve">Visita para la plantación de una parcela demostrativa de tecnologías en el cultivo de </t>
    </r>
    <r>
      <rPr>
        <b/>
        <sz val="11"/>
        <rFont val="Cambria"/>
        <family val="1"/>
      </rPr>
      <t xml:space="preserve">batata </t>
    </r>
  </si>
  <si>
    <t>Las matas de farfan, San Juan</t>
  </si>
  <si>
    <t>San Rafel del Yuma (Batey Baiguà), Higuey</t>
  </si>
  <si>
    <t xml:space="preserve">Elias Piña </t>
  </si>
  <si>
    <t>8-9/06/2024</t>
  </si>
  <si>
    <t>Sobador del Municipio de Hondo Valle, provincia Elias Piña</t>
  </si>
  <si>
    <r>
      <t xml:space="preserve">Visita de seguimiento a la parcela de </t>
    </r>
    <r>
      <rPr>
        <b/>
        <sz val="11"/>
        <color theme="1"/>
        <rFont val="Cambria"/>
        <family val="1"/>
      </rPr>
      <t>café</t>
    </r>
    <r>
      <rPr>
        <sz val="11"/>
        <color theme="1"/>
        <rFont val="Cambria"/>
        <family val="1"/>
      </rPr>
      <t>. En esta parcela se observó un buen desarrollo de la etapa fenológica correspondiente a la segunda cosecha.</t>
    </r>
  </si>
  <si>
    <t xml:space="preserve">Transferencia de tecnología en leche y carne en Neyba: Se realizo una transferencia de tecnologías a varios técnicos y productores de la zona para presentarle los trabajos realizados en la parcela de Leche y Carne </t>
  </si>
  <si>
    <t xml:space="preserve">Se realizó una visita de seguimiento para el cultivo de Leche y carne para la instalación del sistema de Riego en las matas de Farfán, San Juan. </t>
  </si>
  <si>
    <t xml:space="preserve">Las Matas de Farfán, San Juan </t>
  </si>
  <si>
    <t>Abril-Junio</t>
  </si>
  <si>
    <t>Batey 4, Neyba.</t>
  </si>
  <si>
    <t>Neyba</t>
  </si>
  <si>
    <t>.</t>
  </si>
  <si>
    <t>San Juan El cercado</t>
  </si>
  <si>
    <t>Analisis del suelo de aguacate</t>
  </si>
  <si>
    <r>
      <t xml:space="preserve">Analisis del suelo de </t>
    </r>
    <r>
      <rPr>
        <b/>
        <sz val="11"/>
        <color theme="1"/>
        <rFont val="Times New Roman"/>
        <family val="1"/>
      </rPr>
      <t>aguacate</t>
    </r>
  </si>
  <si>
    <r>
      <t xml:space="preserve">Seguimiento a parcela de </t>
    </r>
    <r>
      <rPr>
        <b/>
        <sz val="10"/>
        <rFont val="Cambria"/>
        <family val="1"/>
      </rPr>
      <t xml:space="preserve">berenjena china </t>
    </r>
  </si>
  <si>
    <t>MES: JULIO 2024</t>
  </si>
  <si>
    <t>MES: AGOSTO 2024</t>
  </si>
  <si>
    <t>MES: SEPTIEMBRE 2024</t>
  </si>
  <si>
    <t>PRESUPUESTO JULIO  2024</t>
  </si>
  <si>
    <t>PRESUPUESTO AGOSTO 2024</t>
  </si>
  <si>
    <t>PRESUPUESTO SEPTIEMBRE  2024</t>
  </si>
  <si>
    <t>TRIMESTRE: JULIO-SEPTIEMBRE 2024</t>
  </si>
  <si>
    <t>PROGRAMACION JULIO 2024</t>
  </si>
  <si>
    <t>PROGRAMACION  INDICADORES ABRIL 2024</t>
  </si>
  <si>
    <r>
      <t xml:space="preserve">Visita técnica a la parcela demostrativa de </t>
    </r>
    <r>
      <rPr>
        <b/>
        <sz val="10"/>
        <rFont val="Cambria"/>
        <family val="1"/>
      </rPr>
      <t xml:space="preserve">ají picante. </t>
    </r>
    <r>
      <rPr>
        <sz val="10"/>
        <rFont val="Cambria"/>
        <family val="1"/>
      </rPr>
      <t>La parcela está en la fase de coordinación y montaje.</t>
    </r>
  </si>
  <si>
    <r>
      <t>29/7/2024</t>
    </r>
    <r>
      <rPr>
        <sz val="10"/>
        <color theme="0"/>
        <rFont val="Cambria"/>
        <family val="1"/>
      </rPr>
      <t>.</t>
    </r>
  </si>
  <si>
    <t>10-11/07/2024</t>
  </si>
  <si>
    <r>
      <t xml:space="preserve">Visita técnica en la parcela demostrativa de </t>
    </r>
    <r>
      <rPr>
        <b/>
        <sz val="10"/>
        <rFont val="Cambria"/>
        <family val="1"/>
      </rPr>
      <t>habichuela.</t>
    </r>
    <r>
      <rPr>
        <sz val="10"/>
        <rFont val="Cambria"/>
        <family val="1"/>
      </rPr>
      <t xml:space="preserve"> Se visito la Estación Experimental Arroyo Loro y se reunieron con fines de ir coordinando la instalación de esta parcela.</t>
    </r>
  </si>
  <si>
    <r>
      <t>Se realizó un taller con productores que habían sembrado</t>
    </r>
    <r>
      <rPr>
        <b/>
        <sz val="10"/>
        <rFont val="Cambria"/>
        <family val="1"/>
      </rPr>
      <t xml:space="preserve"> habichuelas</t>
    </r>
    <r>
      <rPr>
        <sz val="10"/>
        <rFont val="Cambria"/>
        <family val="1"/>
      </rPr>
      <t xml:space="preserve"> en el periodo 2023-2024</t>
    </r>
  </si>
  <si>
    <t>24-25/07/2024</t>
  </si>
  <si>
    <r>
      <t xml:space="preserve">Visita técnica a la parcela demostrativa de tecnologías en cuatro variedades de </t>
    </r>
    <r>
      <rPr>
        <b/>
        <sz val="11"/>
        <rFont val="Cambria"/>
        <family val="1"/>
      </rPr>
      <t>batata.</t>
    </r>
    <r>
      <rPr>
        <sz val="11"/>
        <rFont val="Cambria"/>
        <family val="1"/>
      </rPr>
      <t xml:space="preserve"> Hasta el momento se observa un buen desarrollo de cada una de las variedades</t>
    </r>
  </si>
  <si>
    <t>Comendador Elias Piña</t>
  </si>
  <si>
    <r>
      <t xml:space="preserve">Se realizó una visita de seguimiento a las parcelas de transferencia de tecnologías en el cultivo de </t>
    </r>
    <r>
      <rPr>
        <b/>
        <sz val="12"/>
        <rFont val="Cambria"/>
        <family val="1"/>
      </rPr>
      <t>guandul,</t>
    </r>
    <r>
      <rPr>
        <sz val="12"/>
        <rFont val="Cambria"/>
        <family val="1"/>
      </rPr>
      <t xml:space="preserve"> lo más factible por un tema del uso de drones es no continuar con este cultivo</t>
    </r>
  </si>
  <si>
    <r>
      <t xml:space="preserve">Se realizó una visita de seguimiento a las parcelas de </t>
    </r>
    <r>
      <rPr>
        <b/>
        <sz val="12"/>
        <rFont val="Cambria"/>
        <family val="1"/>
      </rPr>
      <t>aguacate</t>
    </r>
    <r>
      <rPr>
        <sz val="12"/>
        <rFont val="Cambria"/>
        <family val="1"/>
      </rPr>
      <t xml:space="preserve"> , donde se dio seguimiento a las actividades de control de maleza manual,</t>
    </r>
  </si>
  <si>
    <r>
      <t xml:space="preserve">Se realizó una visita de seguimiento a las parcelas de </t>
    </r>
    <r>
      <rPr>
        <b/>
        <sz val="11"/>
        <rFont val="Cambria"/>
        <family val="1"/>
      </rPr>
      <t>aguacate</t>
    </r>
    <r>
      <rPr>
        <sz val="11"/>
        <rFont val="Cambria"/>
        <family val="1"/>
      </rPr>
      <t xml:space="preserve">  con el propósito de hacer las respectivas aplicaciones de fertilizantes a las referidas parcelas. </t>
    </r>
  </si>
  <si>
    <r>
      <t xml:space="preserve">Se realizó una visita de seguimiento a las parcelas de </t>
    </r>
    <r>
      <rPr>
        <b/>
        <sz val="11"/>
        <rFont val="Cambria"/>
        <family val="1"/>
      </rPr>
      <t>café</t>
    </r>
    <r>
      <rPr>
        <sz val="11"/>
        <rFont val="Cambria"/>
        <family val="1"/>
      </rPr>
      <t xml:space="preserve"> donde se superviso la aplicación de fertilizante</t>
    </r>
  </si>
  <si>
    <r>
      <t xml:space="preserve">Visita de seguimiento a la parcela de </t>
    </r>
    <r>
      <rPr>
        <b/>
        <sz val="11"/>
        <rFont val="Cambria"/>
        <family val="1"/>
      </rPr>
      <t>leche y carne,</t>
    </r>
    <r>
      <rPr>
        <sz val="11"/>
        <rFont val="Cambria"/>
        <family val="1"/>
      </rPr>
      <t xml:space="preserve"> y se recomendo una segunda aplicación de despasitante y de vitaminas.</t>
    </r>
  </si>
  <si>
    <r>
      <t xml:space="preserve">Visita de seguimiento en el cultivo de </t>
    </r>
    <r>
      <rPr>
        <b/>
        <sz val="11"/>
        <rFont val="Cambria"/>
        <family val="1"/>
      </rPr>
      <t>mango</t>
    </r>
    <r>
      <rPr>
        <sz val="11"/>
        <rFont val="Cambria"/>
        <family val="1"/>
      </rPr>
      <t xml:space="preserve"> para monitorear el estado de la plantación de mango, se recomndo al productor realizar una poda</t>
    </r>
  </si>
  <si>
    <r>
      <t>Visit de seguimiento en el cultivo de</t>
    </r>
    <r>
      <rPr>
        <b/>
        <sz val="11"/>
        <rFont val="Cambria"/>
        <family val="1"/>
      </rPr>
      <t xml:space="preserve"> Mango</t>
    </r>
    <r>
      <rPr>
        <sz val="11"/>
        <rFont val="Cambria"/>
        <family val="1"/>
      </rPr>
      <t xml:space="preserve"> en Pedernales. La plantación presenta muy buena floración a la fecha no se observo ningun ataque de moscas de la fruta.</t>
    </r>
  </si>
  <si>
    <r>
      <t xml:space="preserve">Se realizó una visita de seguimiento la parcela de </t>
    </r>
    <r>
      <rPr>
        <b/>
        <sz val="11"/>
        <rFont val="Cambria"/>
        <family val="1"/>
      </rPr>
      <t xml:space="preserve">aguacate </t>
    </r>
    <r>
      <rPr>
        <sz val="11"/>
        <rFont val="Cambria"/>
        <family val="1"/>
      </rPr>
      <t xml:space="preserve"> y se coordinó la transferencia en poda de formación y fertilización para el día 13 de agosto.  </t>
    </r>
  </si>
  <si>
    <t>11-12/7/2024</t>
  </si>
  <si>
    <t>24-25/7/2024</t>
  </si>
  <si>
    <r>
      <t xml:space="preserve">Se realizó una visita de seguimiento en el cultivo de </t>
    </r>
    <r>
      <rPr>
        <b/>
        <sz val="11"/>
        <rFont val="Cambria"/>
        <family val="1"/>
      </rPr>
      <t>Mango</t>
    </r>
    <r>
      <rPr>
        <sz val="11"/>
        <rFont val="Cambria"/>
        <family val="1"/>
      </rPr>
      <t xml:space="preserve"> en para monitorear el estado de la plantación y se planifico realizar una transferencia con los técnicos del misterio de agricultura </t>
    </r>
  </si>
  <si>
    <t>Elias Piña</t>
  </si>
  <si>
    <r>
      <t xml:space="preserve">Visita técnica en la parcela de </t>
    </r>
    <r>
      <rPr>
        <b/>
        <sz val="11"/>
        <rFont val="Cambria"/>
        <family val="1"/>
      </rPr>
      <t>leche y carne</t>
    </r>
    <r>
      <rPr>
        <sz val="11"/>
        <rFont val="Cambria"/>
        <family val="1"/>
      </rPr>
      <t>. Se inicio con la siembra del 50% de las plantas de guácima</t>
    </r>
  </si>
  <si>
    <r>
      <t xml:space="preserve">Visita técnica en la parcela de </t>
    </r>
    <r>
      <rPr>
        <b/>
        <sz val="11"/>
        <rFont val="Times New Roman"/>
        <family val="1"/>
      </rPr>
      <t>leche y carne</t>
    </r>
    <r>
      <rPr>
        <sz val="11"/>
        <rFont val="Times New Roman"/>
        <family val="1"/>
      </rPr>
      <t>. Se continuo con la siembra del 50% restante de las plantas de guácima.</t>
    </r>
  </si>
  <si>
    <r>
      <t>Visita técnica en la parcela de</t>
    </r>
    <r>
      <rPr>
        <b/>
        <sz val="11"/>
        <rFont val="Times New Roman"/>
        <family val="1"/>
      </rPr>
      <t xml:space="preserve"> yuca.</t>
    </r>
    <r>
      <rPr>
        <sz val="11"/>
        <rFont val="Times New Roman"/>
        <family val="1"/>
      </rPr>
      <t xml:space="preserve"> Se realizo la instalación del sistema de riego para la instalación de la parcela de yuca amarga para procesamiento con la Confederación Nacional de Mujeres Campesinas (CONAMUCA).</t>
    </r>
  </si>
  <si>
    <r>
      <t xml:space="preserve">Recolección, selección y transporte desde moca a Santo Domingo de esquejes de yuca de procesamiento para ser utilizadas en la instalación de parcela de </t>
    </r>
    <r>
      <rPr>
        <b/>
        <sz val="11"/>
        <rFont val="Times New Roman"/>
        <family val="1"/>
      </rPr>
      <t>yuca</t>
    </r>
    <r>
      <rPr>
        <sz val="11"/>
        <rFont val="Times New Roman"/>
        <family val="1"/>
      </rPr>
      <t xml:space="preserve"> en Elías Piña.</t>
    </r>
  </si>
  <si>
    <r>
      <t>Transferencia de tecnología en el cultivo de yuca en Elías Piña, provincia Comendador. Se realizo la inducción al cultivo de</t>
    </r>
    <r>
      <rPr>
        <b/>
        <sz val="11"/>
        <rFont val="Times New Roman"/>
        <family val="1"/>
      </rPr>
      <t xml:space="preserve"> yuca</t>
    </r>
    <r>
      <rPr>
        <sz val="11"/>
        <rFont val="Times New Roman"/>
        <family val="1"/>
      </rPr>
      <t xml:space="preserve"> con un grupo de mujeres de CONAMUCA</t>
    </r>
  </si>
  <si>
    <r>
      <t>Transferencia de tecnología en el cultivo de</t>
    </r>
    <r>
      <rPr>
        <b/>
        <sz val="11"/>
        <rFont val="Times New Roman"/>
        <family val="1"/>
      </rPr>
      <t xml:space="preserve"> yuca</t>
    </r>
    <r>
      <rPr>
        <sz val="11"/>
        <rFont val="Times New Roman"/>
        <family val="1"/>
      </rPr>
      <t xml:space="preserve">. Se realizó la siembra (instalación) de la parcela de yuca de procesamiento en el Centro CONAMUCA. </t>
    </r>
  </si>
  <si>
    <t>EJECUCION AGOSTO</t>
  </si>
  <si>
    <t>PROGRAMACION AGOSTO 2024</t>
  </si>
  <si>
    <t>PROGRAMACION  INDICADORES AGOSTO 2024</t>
  </si>
  <si>
    <t>PROGRAMACION GASTOS  JULIO-SEPTIEMBRE 2024</t>
  </si>
  <si>
    <t>PROGRAMACION   INDICADORES JULIO-SEPTIEMBRE 2024</t>
  </si>
  <si>
    <t>PRESUPUESTO JULIO-SEPTIEMBRE  2024</t>
  </si>
  <si>
    <t>EJECUCION JULIO-SEPTIEMBRE 2024</t>
  </si>
  <si>
    <t>Batey 4, Neyba</t>
  </si>
  <si>
    <t>15 de agosto</t>
  </si>
  <si>
    <r>
      <t>Visita de seguimiento en la parcela de</t>
    </r>
    <r>
      <rPr>
        <b/>
        <sz val="11"/>
        <rFont val="Cambria"/>
        <family val="1"/>
      </rPr>
      <t xml:space="preserve"> Leche y Carne</t>
    </r>
    <r>
      <rPr>
        <sz val="11"/>
        <rFont val="Cambria"/>
        <family val="1"/>
      </rPr>
      <t xml:space="preserve"> en Las Matas de Farfán, San Juan.  Se culmino con la siembra de las plantas de guásima, se limpió y se fertilizo. </t>
    </r>
  </si>
  <si>
    <r>
      <t xml:space="preserve">Visita de seguimiento en el cultivo de </t>
    </r>
    <r>
      <rPr>
        <b/>
        <sz val="11"/>
        <color theme="1"/>
        <rFont val="Cambria"/>
        <family val="1"/>
      </rPr>
      <t>Yuca</t>
    </r>
    <r>
      <rPr>
        <sz val="11"/>
        <color theme="1"/>
        <rFont val="Cambria"/>
        <family val="1"/>
      </rPr>
      <t xml:space="preserve"> en Azua. Se realizó el seguimiento a la parcela  y se coordinó realizar una transferencia a medio tiempo para presentar el desarrollo del cultivo.</t>
    </r>
  </si>
  <si>
    <r>
      <t>Visita de seguimiento en el cultivo de</t>
    </r>
    <r>
      <rPr>
        <b/>
        <sz val="11"/>
        <rFont val="Cambria"/>
        <family val="1"/>
      </rPr>
      <t xml:space="preserve"> Yuca</t>
    </r>
    <r>
      <rPr>
        <sz val="11"/>
        <rFont val="Cambria"/>
        <family val="1"/>
      </rPr>
      <t xml:space="preserve"> en Elias Piña. Debido a un accidente, las mujeres encargadas de este cultivo de CONAMUCA, no pudieron dar seguimiento, por lo tanto una gran parte del cultivo fue alimento para chivos. </t>
    </r>
  </si>
  <si>
    <r>
      <t xml:space="preserve">Visita de seguimiento en la parcela de </t>
    </r>
    <r>
      <rPr>
        <b/>
        <sz val="11"/>
        <rFont val="Cambria"/>
        <family val="1"/>
      </rPr>
      <t>Leche y Carne</t>
    </r>
    <r>
      <rPr>
        <sz val="11"/>
        <rFont val="Cambria"/>
        <family val="1"/>
      </rPr>
      <t>. Se realizó un seguimiento para observar el estado de los animales, están en muy buenas condiciones, se planificó construir un molde para la fabricación de los bloques multinutricionales.</t>
    </r>
  </si>
  <si>
    <r>
      <t>Se realizó una visita al lugar donde se va a instalar la parcela de</t>
    </r>
    <r>
      <rPr>
        <b/>
        <sz val="11"/>
        <rFont val="Cambria"/>
        <family val="1"/>
      </rPr>
      <t xml:space="preserve"> leche y pasto.</t>
    </r>
    <r>
      <rPr>
        <sz val="11"/>
        <rFont val="Cambria"/>
        <family val="1"/>
      </rPr>
      <t xml:space="preserve"> Se coordinó realizar la preparación de la tierra para la siguiente semana y luego instalar el sistema de riego.</t>
    </r>
  </si>
  <si>
    <t>Santiago Rodriguez</t>
  </si>
  <si>
    <r>
      <t>Visita de seguimiento en la parcela de parcela</t>
    </r>
    <r>
      <rPr>
        <b/>
        <sz val="11"/>
        <rFont val="Cambria"/>
        <family val="1"/>
      </rPr>
      <t xml:space="preserve"> ají picante</t>
    </r>
    <r>
      <rPr>
        <sz val="11"/>
        <rFont val="Cambria"/>
        <family val="1"/>
      </rPr>
      <t xml:space="preserve">, para la colocación de la tubería de riego, mangueras de mojado y plástico protector del suelo. </t>
    </r>
  </si>
  <si>
    <r>
      <t>Visita de seguimiento en la parcela de</t>
    </r>
    <r>
      <rPr>
        <b/>
        <sz val="11"/>
        <rFont val="Cambria"/>
        <family val="1"/>
      </rPr>
      <t xml:space="preserve"> ají picante,</t>
    </r>
    <r>
      <rPr>
        <sz val="11"/>
        <rFont val="Cambria"/>
        <family val="1"/>
      </rPr>
      <t xml:space="preserve"> en La vega. Se procedió a la siembra de las plantitas de ají (variedad Emperador). </t>
    </r>
  </si>
  <si>
    <r>
      <t xml:space="preserve">Visita de seguimiento  para continuar la elaboración del presupuesto de la parcela demostrativa de </t>
    </r>
    <r>
      <rPr>
        <b/>
        <sz val="11"/>
        <rFont val="Cambria"/>
        <family val="1"/>
      </rPr>
      <t xml:space="preserve">habichuela. </t>
    </r>
  </si>
  <si>
    <t>21-23/08/2024</t>
  </si>
  <si>
    <t>20-21/08/2024</t>
  </si>
  <si>
    <r>
      <t xml:space="preserve">Visita de técnica para iniciar los trabajos para la instalación de una parcela en el cultivo de </t>
    </r>
    <r>
      <rPr>
        <b/>
        <sz val="11"/>
        <rFont val="Cambria"/>
        <family val="1"/>
      </rPr>
      <t>Batata.</t>
    </r>
  </si>
  <si>
    <t>1-2/08/2024</t>
  </si>
  <si>
    <r>
      <t xml:space="preserve">Visita de seguimiento en las parcelas de </t>
    </r>
    <r>
      <rPr>
        <b/>
        <sz val="11"/>
        <rFont val="Cambria"/>
        <family val="1"/>
      </rPr>
      <t>Café,</t>
    </r>
    <r>
      <rPr>
        <sz val="11"/>
        <rFont val="Cambria"/>
        <family val="1"/>
      </rPr>
      <t xml:space="preserve"> de las variedades CATIDIAF Y CARIBE. Se realizaron actividades de control de malezas y fertilización en la Estación de Investigación del INDOCAFE </t>
    </r>
  </si>
  <si>
    <r>
      <t xml:space="preserve">Visita de seguimiento y coordinación del control para la parcela de transferencia de tecnologías en el cultivo de </t>
    </r>
    <r>
      <rPr>
        <b/>
        <sz val="11"/>
        <rFont val="Cambria"/>
        <family val="1"/>
      </rPr>
      <t>plátano.</t>
    </r>
  </si>
  <si>
    <t>22,23/8/2024</t>
  </si>
  <si>
    <t>Hondo Valle, provincia Elias Pina.</t>
  </si>
  <si>
    <r>
      <t>Se iniciaron las instalaciones del sistema de riego presurizado en la parcela de</t>
    </r>
    <r>
      <rPr>
        <b/>
        <sz val="11"/>
        <rFont val="Cambria"/>
        <family val="1"/>
      </rPr>
      <t xml:space="preserve"> aguacate.</t>
    </r>
    <r>
      <rPr>
        <sz val="11"/>
        <rFont val="Cambria"/>
        <family val="1"/>
      </rPr>
      <t xml:space="preserve"> Se resembro el 30% de las plantas que murieron en la parcela.</t>
    </r>
  </si>
  <si>
    <t>Higuey, La Altagracia.</t>
  </si>
  <si>
    <t>Matanzas, provincia Peravia.</t>
  </si>
  <si>
    <r>
      <t>Se realizo una reunión en la estación del IDIAF, Matanzas, Provincia Peravia, con el investigador, donde se ajustó presupuesto 2025 para realizar la transferencia de tecnologías en las parcelas de</t>
    </r>
    <r>
      <rPr>
        <b/>
        <sz val="11"/>
        <rFont val="Cambria"/>
        <family val="1"/>
      </rPr>
      <t xml:space="preserve"> aguacate</t>
    </r>
    <r>
      <rPr>
        <sz val="11"/>
        <rFont val="Cambria"/>
        <family val="1"/>
      </rPr>
      <t xml:space="preserve"> ubicadas en Hondo Valle.</t>
    </r>
  </si>
  <si>
    <r>
      <t xml:space="preserve">Visita de seguimiento para continuar los trabajos de instalación del sistema de riego en la parcela de </t>
    </r>
    <r>
      <rPr>
        <b/>
        <sz val="11"/>
        <rFont val="Cambria"/>
        <family val="1"/>
      </rPr>
      <t xml:space="preserve">aguacate </t>
    </r>
  </si>
  <si>
    <t>Tamayo, Galvan, Bahoruco.</t>
  </si>
  <si>
    <t>La Lanza, Polo, Barahona.</t>
  </si>
  <si>
    <r>
      <t>Visita de seguimiento para las actividades relacionadas en el cultivo de</t>
    </r>
    <r>
      <rPr>
        <b/>
        <sz val="11"/>
        <rFont val="Cambria"/>
        <family val="1"/>
      </rPr>
      <t xml:space="preserve"> plátano</t>
    </r>
    <r>
      <rPr>
        <sz val="11"/>
        <rFont val="Cambria"/>
        <family val="1"/>
      </rPr>
      <t xml:space="preserve">, en Tamayo, provincia Bahoruco. </t>
    </r>
  </si>
  <si>
    <t>Tamayo, provincia Bahoruco</t>
  </si>
  <si>
    <t>Francisco Ceballos Correa</t>
  </si>
  <si>
    <t>San juan</t>
  </si>
  <si>
    <r>
      <t xml:space="preserve">Visita de seguimiento para una reunión con los técnicos extensionistas que trabajan en </t>
    </r>
    <r>
      <rPr>
        <b/>
        <sz val="11"/>
        <rFont val="Cambria"/>
        <family val="1"/>
      </rPr>
      <t>habichuela</t>
    </r>
    <r>
      <rPr>
        <sz val="11"/>
        <rFont val="Cambria"/>
        <family val="1"/>
      </rPr>
      <t xml:space="preserve"> en la Estación Experimental Arroyo Loro. </t>
    </r>
  </si>
  <si>
    <t>Batey Baiguá, San Rafael del Yuma, provincia La Altagracia..</t>
  </si>
  <si>
    <t xml:space="preserve">Visita de seguimiento a los 120 dds en la parcela demostrativa de tecnologías en el cultivo de cuatro variedades de batata </t>
  </si>
  <si>
    <t>Solomon Sosa Nata</t>
  </si>
  <si>
    <t>20-21/8/2024</t>
  </si>
  <si>
    <r>
      <t xml:space="preserve"> Se realizó un seguimiento para monitorear el estado de la plantación de</t>
    </r>
    <r>
      <rPr>
        <b/>
        <sz val="11"/>
        <color rgb="FFFF0000"/>
        <rFont val="Cambria"/>
        <family val="1"/>
      </rPr>
      <t xml:space="preserve"> mango</t>
    </r>
    <r>
      <rPr>
        <sz val="11"/>
        <color rgb="FFFF0000"/>
        <rFont val="Cambria"/>
        <family val="1"/>
      </rPr>
      <t xml:space="preserve"> y programó la aplicación de inductor de flotaración (nitrato de potasio) para la primera semana de marzo.</t>
    </r>
  </si>
  <si>
    <r>
      <t xml:space="preserve">.Se realizó un seguimiento para monitorear el estado de los injertos realizados y se planifico una limpieza a la parcela de </t>
    </r>
    <r>
      <rPr>
        <b/>
        <sz val="11"/>
        <color rgb="FFFF0000"/>
        <rFont val="Cambria"/>
        <family val="1"/>
      </rPr>
      <t>aguacate</t>
    </r>
    <r>
      <rPr>
        <sz val="11"/>
        <color rgb="FFFF0000"/>
        <rFont val="Cambria"/>
        <family val="1"/>
      </rPr>
      <t xml:space="preserve"> para luego fertilizar.</t>
    </r>
  </si>
  <si>
    <r>
      <t xml:space="preserve">Visita de seguimiento en la parcela de </t>
    </r>
    <r>
      <rPr>
        <b/>
        <sz val="11"/>
        <color rgb="FFFF0000"/>
        <rFont val="Cambria"/>
        <family val="1"/>
      </rPr>
      <t>Leche y Carne</t>
    </r>
    <r>
      <rPr>
        <sz val="11"/>
        <color rgb="FFFF0000"/>
        <rFont val="Cambria"/>
        <family val="1"/>
      </rPr>
      <t xml:space="preserve"> en Batey 4, Neiba.  </t>
    </r>
  </si>
  <si>
    <r>
      <t xml:space="preserve">Visita de seguimiento en el cultivo de </t>
    </r>
    <r>
      <rPr>
        <b/>
        <sz val="11"/>
        <color rgb="FFFF0000"/>
        <rFont val="Cambria"/>
        <family val="1"/>
      </rPr>
      <t>Mango</t>
    </r>
    <r>
      <rPr>
        <sz val="11"/>
        <color rgb="FFFF0000"/>
        <rFont val="Cambria"/>
        <family val="1"/>
      </rPr>
      <t xml:space="preserve"> en Neiba. Se observo que la parcela de Mango del Tanque una baja floración. En la parcela del Manguito a pesar de ser más joven tiene muy buena floración, </t>
    </r>
  </si>
  <si>
    <r>
      <t xml:space="preserve">Visita de seguimiento en el cultivo de </t>
    </r>
    <r>
      <rPr>
        <b/>
        <sz val="11"/>
        <color rgb="FFFF0000"/>
        <rFont val="Cambria"/>
        <family val="1"/>
      </rPr>
      <t>aguacate</t>
    </r>
    <r>
      <rPr>
        <sz val="11"/>
        <color rgb="FFFF0000"/>
        <rFont val="Cambria"/>
        <family val="1"/>
      </rPr>
      <t xml:space="preserve"> en Paraíso, Barahona. Se observó un buen desarrollo de las plantas.</t>
    </r>
  </si>
  <si>
    <r>
      <t xml:space="preserve"> Se realizo un seguimiento a la parcela de</t>
    </r>
    <r>
      <rPr>
        <b/>
        <sz val="11"/>
        <color rgb="FFFF0000"/>
        <rFont val="Cambria"/>
        <family val="1"/>
      </rPr>
      <t xml:space="preserve"> yuca </t>
    </r>
    <r>
      <rPr>
        <sz val="11"/>
        <color rgb="FFFF0000"/>
        <rFont val="Cambria"/>
        <family val="1"/>
      </rPr>
      <t>y se visitó la oficina del Misterio de Agricultura Dajabón para coordinación de la fecha de cosecha de la parcela de yuca.</t>
    </r>
  </si>
  <si>
    <t>28-30 de agosto</t>
  </si>
  <si>
    <t>23 de agosto</t>
  </si>
  <si>
    <t>13-14/8/2024</t>
  </si>
  <si>
    <r>
      <t>Visita de seguimiento en la parcela demostrativa de tecnologías en el cultivo de cuatro variedades de</t>
    </r>
    <r>
      <rPr>
        <b/>
        <sz val="11"/>
        <color rgb="FFFF0000"/>
        <rFont val="Cambria"/>
        <family val="1"/>
      </rPr>
      <t xml:space="preserve"> batata.</t>
    </r>
    <r>
      <rPr>
        <sz val="11"/>
        <color rgb="FFFF0000"/>
        <rFont val="Cambria"/>
        <family val="1"/>
      </rPr>
      <t xml:space="preserve"> Con el objetivo de observar el desarrollo de la tuberización, entre otras actividades  </t>
    </r>
  </si>
  <si>
    <r>
      <t xml:space="preserve"> Curso sobre tecnologías de </t>
    </r>
    <r>
      <rPr>
        <b/>
        <sz val="11"/>
        <color rgb="FFFF0000"/>
        <rFont val="Cambria"/>
        <family val="1"/>
      </rPr>
      <t>cacao</t>
    </r>
    <r>
      <rPr>
        <sz val="11"/>
        <color rgb="FFFF0000"/>
        <rFont val="Cambria"/>
        <family val="1"/>
      </rPr>
      <t xml:space="preserve"> para la innovación y competitividad</t>
    </r>
  </si>
  <si>
    <r>
      <t>Visita Técnica de supervisión y coordinación de las labores culturales en 
la parcela demostrativa de tecnologías para el cultivo de</t>
    </r>
    <r>
      <rPr>
        <b/>
        <sz val="11"/>
        <color rgb="FFFF0000"/>
        <rFont val="Cambria"/>
        <family val="1"/>
      </rPr>
      <t xml:space="preserve"> batata </t>
    </r>
  </si>
  <si>
    <t>08-09/08/2024</t>
  </si>
  <si>
    <r>
      <t>Visita de seguimiento para reanudar las actividades de preparación de terreno. Se reviso el sistema de bombeo para el riego  para la siembra de la parcela de transferencia de tecnologías de B</t>
    </r>
    <r>
      <rPr>
        <b/>
        <sz val="11"/>
        <rFont val="Cambria"/>
        <family val="1"/>
      </rPr>
      <t>atata.</t>
    </r>
  </si>
  <si>
    <t>28-29-30/08/2024</t>
  </si>
  <si>
    <t>12-13 -15de agosto</t>
  </si>
  <si>
    <t>21-22/23de Agosto</t>
  </si>
  <si>
    <t>31/07-1/08/2024</t>
  </si>
  <si>
    <t>Elias piña, Hondo valle.</t>
  </si>
  <si>
    <t>Johuan Santos y Mauricio Jose</t>
  </si>
  <si>
    <t>Visita de seguimiento a la parcela de batata con el objetivo de verificar el nivel de tuberización de las raíces</t>
  </si>
  <si>
    <t>19-21/09/2024</t>
  </si>
  <si>
    <t>Neyba (el Tanque y Villa Jaragua)</t>
  </si>
  <si>
    <t>12 de septiembre</t>
  </si>
  <si>
    <t>13 de septiembre</t>
  </si>
  <si>
    <t>3-4/9/2024</t>
  </si>
  <si>
    <t>Julio de Oleo</t>
  </si>
  <si>
    <t>5-6/9/2024</t>
  </si>
  <si>
    <t>11-12-13/9/2024</t>
  </si>
  <si>
    <t>PROGRAMACION GASTOS SEPTIEMBRE 2024</t>
  </si>
  <si>
    <t>PROGRAMACION   INDICADORES SEPTIEMBRE 2024</t>
  </si>
  <si>
    <t>Julio-Septiembre</t>
  </si>
  <si>
    <t xml:space="preserve">Pedernales </t>
  </si>
  <si>
    <t>Santiago rodriguez</t>
  </si>
  <si>
    <r>
      <t xml:space="preserve">Se realizó una visita de seguimiento la parcela de </t>
    </r>
    <r>
      <rPr>
        <b/>
        <sz val="11"/>
        <rFont val="Cambria"/>
        <family val="1"/>
      </rPr>
      <t xml:space="preserve">aguacate </t>
    </r>
    <r>
      <rPr>
        <sz val="11"/>
        <rFont val="Cambria"/>
        <family val="1"/>
      </rPr>
      <t xml:space="preserve"> y se coordinó la transferencia en poda de formación y fertilización</t>
    </r>
  </si>
  <si>
    <r>
      <t xml:space="preserve">Visita técnica en el cultivo de </t>
    </r>
    <r>
      <rPr>
        <b/>
        <sz val="11"/>
        <rFont val="Cambria"/>
        <family val="1"/>
      </rPr>
      <t>Mango</t>
    </r>
    <r>
      <rPr>
        <sz val="11"/>
        <rFont val="Cambria"/>
        <family val="1"/>
      </rPr>
      <t xml:space="preserve"> en Neiba, se seleccionó la finca de mango y se decidió realizar los tipos de maduración de brotes y observar su impacto en la zona.</t>
    </r>
  </si>
  <si>
    <r>
      <t xml:space="preserve">Visita técnica en la parcela de </t>
    </r>
    <r>
      <rPr>
        <b/>
        <sz val="11"/>
        <rFont val="Cambria"/>
        <family val="1"/>
      </rPr>
      <t>leche y carne</t>
    </r>
    <r>
      <rPr>
        <sz val="11"/>
        <rFont val="Cambria"/>
        <family val="1"/>
      </rPr>
      <t>. Se inicio con la siembra  de las plantas de guácima</t>
    </r>
  </si>
  <si>
    <r>
      <t xml:space="preserve">Transferencia de tecnología en el cultivo de yuca en Azua, con técnicos y productores donde se les presento los resultados del desarrollo que llevan las dos parcelas de </t>
    </r>
    <r>
      <rPr>
        <b/>
        <sz val="11"/>
        <rFont val="Cambria"/>
        <family val="1"/>
      </rPr>
      <t>yuca</t>
    </r>
  </si>
  <si>
    <r>
      <t xml:space="preserve">Viaje de seguimiento e instalación del inyector de fertilizantes en la parcela demostrativa de </t>
    </r>
    <r>
      <rPr>
        <b/>
        <sz val="10"/>
        <rFont val="Cambria"/>
        <family val="1"/>
      </rPr>
      <t>ají picante</t>
    </r>
    <r>
      <rPr>
        <sz val="10"/>
        <rFont val="Cambria"/>
        <family val="1"/>
      </rPr>
      <t xml:space="preserve"> en la vega. Las plantas de ají con un mes de edad ya iniciaron la floración y unas pocas presentan frutos muy pequeños.</t>
    </r>
  </si>
  <si>
    <r>
      <t>Visita de seguimiento a la parcela de</t>
    </r>
    <r>
      <rPr>
        <b/>
        <sz val="11"/>
        <rFont val="Cambria"/>
        <family val="1"/>
      </rPr>
      <t xml:space="preserve"> batata</t>
    </r>
    <r>
      <rPr>
        <sz val="11"/>
        <rFont val="Cambria"/>
        <family val="1"/>
      </rPr>
      <t xml:space="preserve"> con el objetivo de verificar el nivel de tuberización de las raíces</t>
    </r>
  </si>
  <si>
    <r>
      <t>Seguimiento a la parcela de</t>
    </r>
    <r>
      <rPr>
        <b/>
        <sz val="11"/>
        <rFont val="Cambria"/>
        <family val="1"/>
      </rPr>
      <t xml:space="preserve"> yuca</t>
    </r>
    <r>
      <rPr>
        <sz val="11"/>
        <rFont val="Cambria"/>
        <family val="1"/>
      </rPr>
      <t xml:space="preserve"> para observar el estado de las plantas y tomar la decisión de continuar. En este sentido se decidió sembrar nuevamente, para lo cual se va a preparar el terreno </t>
    </r>
  </si>
  <si>
    <t>Tamayo, Bahoruco</t>
  </si>
  <si>
    <t>26-27/9/2024</t>
  </si>
  <si>
    <t>25-27/9/2024</t>
  </si>
  <si>
    <t>San Rafael del Yuma. Higuey</t>
  </si>
  <si>
    <t>17-18/9/2024</t>
  </si>
  <si>
    <t xml:space="preserve">Antonio Salomon Sosa Nata </t>
  </si>
  <si>
    <t xml:space="preserve"> Miguel Rodriguez</t>
  </si>
  <si>
    <r>
      <t>Transferencia de tecnología en el cultivo de</t>
    </r>
    <r>
      <rPr>
        <b/>
        <sz val="12"/>
        <color rgb="FFFF0000"/>
        <rFont val="Cambria"/>
        <family val="1"/>
      </rPr>
      <t xml:space="preserve"> yuca en Dajabón</t>
    </r>
    <r>
      <rPr>
        <sz val="12"/>
        <color rgb="FFFF0000"/>
        <rFont val="Cambria"/>
        <family val="1"/>
      </rPr>
      <t>. Se cosecharon las variedades de las parcelas de yuca y se presentaron los resultados al Ministerio de Agricultura.</t>
    </r>
  </si>
  <si>
    <r>
      <t xml:space="preserve">Se realizo  visita a el lugar donde se instalarán las parcelas </t>
    </r>
    <r>
      <rPr>
        <b/>
        <sz val="12"/>
        <color rgb="FFFF0000"/>
        <rFont val="Cambria"/>
        <family val="1"/>
      </rPr>
      <t>de yuca, dulce y amarga</t>
    </r>
    <r>
      <rPr>
        <sz val="12"/>
        <color rgb="FFFF0000"/>
        <rFont val="Cambria"/>
        <family val="1"/>
      </rPr>
      <t>. Se coordino con ISOL y FECAINMAT como se harán los cursos y que cantidad de personas serian para la siembra. En la reunión se concluyó que pondrán un técnico, para el seguimiento de las tecnologías y harán una convocatoria para el taller de inducción de la yuca.</t>
    </r>
  </si>
  <si>
    <r>
      <t xml:space="preserve">Se realizo una visita a las parcelas de </t>
    </r>
    <r>
      <rPr>
        <b/>
        <sz val="12"/>
        <color theme="1"/>
        <rFont val="Cambria"/>
        <family val="1"/>
      </rPr>
      <t>aguacate</t>
    </r>
    <r>
      <rPr>
        <sz val="12"/>
        <color theme="1"/>
        <rFont val="Cambria"/>
        <family val="1"/>
      </rPr>
      <t xml:space="preserve"> hass y se dio seguimiento a la instalación del sistema de riego, el control químico de malezas y la resiembra que se hizo en las parcelas.  </t>
    </r>
  </si>
  <si>
    <r>
      <t>Se realizo una visita a la parcela de</t>
    </r>
    <r>
      <rPr>
        <b/>
        <sz val="12"/>
        <rFont val="Cambria"/>
        <family val="1"/>
      </rPr>
      <t xml:space="preserve"> plátano</t>
    </r>
    <r>
      <rPr>
        <sz val="12"/>
        <rFont val="Cambria"/>
        <family val="1"/>
      </rPr>
      <t xml:space="preserve"> variedad macho por hembra ¾. Se dio seguimiento a las actividades de fumigación y fertilización. Esta parcela se muestra con excelente desarrollo </t>
    </r>
  </si>
  <si>
    <r>
      <t xml:space="preserve">Se realizó una visita donde se supervisó los preparativos que se realizan para la instalación de la parcela de </t>
    </r>
    <r>
      <rPr>
        <b/>
        <sz val="12"/>
        <rFont val="Cambria"/>
        <family val="1"/>
      </rPr>
      <t>batata.</t>
    </r>
    <r>
      <rPr>
        <sz val="12"/>
        <rFont val="Cambria"/>
        <family val="1"/>
      </rPr>
      <t xml:space="preserve"> Se preparó el terreno y la siembra se realizará antes de finalizar el mes de octubre. </t>
    </r>
  </si>
  <si>
    <r>
      <t xml:space="preserve">Se hizo una visita a la parcela transferencia de tecnologías del cultivo de </t>
    </r>
    <r>
      <rPr>
        <b/>
        <sz val="12"/>
        <color theme="1"/>
        <rFont val="Cambria"/>
        <family val="1"/>
      </rPr>
      <t>café.</t>
    </r>
    <r>
      <rPr>
        <sz val="12"/>
        <color theme="1"/>
        <rFont val="Cambria"/>
        <family val="1"/>
      </rPr>
      <t xml:space="preserve"> Se realizaron las mediciones de la primera cosecha de café en este año 2024, aquí se obtuvieron 228 kilogramos de café uva en 5 tareas.</t>
    </r>
  </si>
  <si>
    <r>
      <t xml:space="preserve">Se realizó una visita, donde se supervisaron los trabajos en las parcelas sembradas de las variedades de </t>
    </r>
    <r>
      <rPr>
        <b/>
        <sz val="12"/>
        <color theme="1"/>
        <rFont val="Cambria"/>
        <family val="1"/>
      </rPr>
      <t>café</t>
    </r>
    <r>
      <rPr>
        <sz val="12"/>
        <color theme="1"/>
        <rFont val="Cambria"/>
        <family val="1"/>
      </rPr>
      <t xml:space="preserve"> CATIDIAF y CARIBE, en las cuales se realizó control de malezas manual y monitoreo de plagas y enfermedades.</t>
    </r>
  </si>
  <si>
    <r>
      <t xml:space="preserve">Se realizó una visita a la parcela de </t>
    </r>
    <r>
      <rPr>
        <b/>
        <sz val="12"/>
        <rFont val="Cambria"/>
        <family val="1"/>
      </rPr>
      <t>mango</t>
    </r>
    <r>
      <rPr>
        <sz val="12"/>
        <rFont val="Cambria"/>
        <family val="1"/>
      </rPr>
      <t xml:space="preserve"> ubicada en el Tanque, para continuar con esta durante el año 2025 y se seleccionó una finca para realizar las transferencias de tecnologías en en Villa Jaragua.</t>
    </r>
  </si>
  <si>
    <r>
      <t xml:space="preserve">Transferencia de tecnología en el cultivo de </t>
    </r>
    <r>
      <rPr>
        <b/>
        <sz val="12"/>
        <rFont val="Cambria"/>
        <family val="1"/>
      </rPr>
      <t>yuca</t>
    </r>
    <r>
      <rPr>
        <sz val="12"/>
        <rFont val="Cambria"/>
        <family val="1"/>
      </rPr>
      <t xml:space="preserve"> en Azua, con técnicos y productores donde se les presento los resultados del desarrollo que llevan las dos parcelas de yuca, tanto la dulce para consumo fresco y la amarga para procesamiento</t>
    </r>
  </si>
  <si>
    <r>
      <t xml:space="preserve">Seguimiento a la parcela de </t>
    </r>
    <r>
      <rPr>
        <b/>
        <sz val="12"/>
        <rFont val="Cambria"/>
        <family val="1"/>
      </rPr>
      <t>yuca</t>
    </r>
    <r>
      <rPr>
        <sz val="12"/>
        <rFont val="Cambria"/>
        <family val="1"/>
      </rPr>
      <t xml:space="preserve"> para observar el estado de las plantas y tomar la decisión de continuar o volver a sembrar, debido al riesgo de por el daño de animales. En este sentido se decidió sembrar nuevamente, para lo cual se va a preparar el terreno nuevamente y buscar el material de siembra en Moca.</t>
    </r>
  </si>
  <si>
    <r>
      <t>Viaje de instalación de inyector de fertilizantes en la parcela demostrativa de</t>
    </r>
    <r>
      <rPr>
        <b/>
        <sz val="12"/>
        <rFont val="Cambria"/>
        <family val="1"/>
      </rPr>
      <t xml:space="preserve"> ají picante</t>
    </r>
    <r>
      <rPr>
        <sz val="12"/>
        <rFont val="Cambria"/>
        <family val="1"/>
      </rPr>
      <t xml:space="preserve"> en la vega. </t>
    </r>
  </si>
  <si>
    <r>
      <t>3/9/2024</t>
    </r>
    <r>
      <rPr>
        <sz val="12"/>
        <color theme="0"/>
        <rFont val="Cambria"/>
        <family val="1"/>
      </rPr>
      <t>.</t>
    </r>
  </si>
  <si>
    <r>
      <t>Viaje de seguimiento e instalación del inyector de fertilizantes en la parcela demostrativa de</t>
    </r>
    <r>
      <rPr>
        <b/>
        <sz val="12"/>
        <rFont val="Cambria"/>
        <family val="1"/>
      </rPr>
      <t xml:space="preserve"> ají picante</t>
    </r>
    <r>
      <rPr>
        <sz val="12"/>
        <rFont val="Cambria"/>
        <family val="1"/>
      </rPr>
      <t xml:space="preserve"> en la vega. Las plantas de ají con un mes de edad ya iniciaron la floración y unas pocas presentan frutos muy pequeños.</t>
    </r>
  </si>
  <si>
    <r>
      <t>20/09/2024</t>
    </r>
    <r>
      <rPr>
        <sz val="12"/>
        <color theme="0"/>
        <rFont val="Cambria"/>
        <family val="1"/>
      </rPr>
      <t>.</t>
    </r>
  </si>
  <si>
    <r>
      <t>Visita  y realizacion de 4ta gira en parcela de validacion para transferencia en el cultivo de</t>
    </r>
    <r>
      <rPr>
        <b/>
        <sz val="12"/>
        <rFont val="Cambria"/>
        <family val="1"/>
      </rPr>
      <t xml:space="preserve"> Arroz </t>
    </r>
    <r>
      <rPr>
        <sz val="12"/>
        <rFont val="Cambria"/>
        <family val="1"/>
      </rPr>
      <t>.</t>
    </r>
  </si>
  <si>
    <r>
      <t>Cosechas parcelas demostrativas de</t>
    </r>
    <r>
      <rPr>
        <b/>
        <sz val="12"/>
        <rFont val="Cambria"/>
        <family val="1"/>
      </rPr>
      <t xml:space="preserve"> Arroz( </t>
    </r>
    <r>
      <rPr>
        <sz val="12"/>
        <rFont val="Cambria"/>
        <family val="1"/>
      </rPr>
      <t>5ta gira tècnica)</t>
    </r>
  </si>
  <si>
    <r>
      <t xml:space="preserve">Visita para coordinar el montaje y desarrollo de un “Curso sobre tecnologías de </t>
    </r>
    <r>
      <rPr>
        <b/>
        <sz val="12"/>
        <rFont val="Cambria"/>
        <family val="1"/>
      </rPr>
      <t>cacao</t>
    </r>
    <r>
      <rPr>
        <sz val="12"/>
        <rFont val="Cambria"/>
        <family val="1"/>
      </rPr>
      <t xml:space="preserve"> para Alejandro Maria Nuñezla innovación y competitividad</t>
    </r>
  </si>
  <si>
    <r>
      <t>Visita Técnica de supervisión y coordinación de las labores culturales en 
la parcela demostrativa de tecnologías para el cultivo de</t>
    </r>
    <r>
      <rPr>
        <b/>
        <sz val="12"/>
        <rFont val="Cambria"/>
        <family val="1"/>
      </rPr>
      <t xml:space="preserve"> batata </t>
    </r>
  </si>
  <si>
    <t>EJECUCION SEPTIEMBRE 2024</t>
  </si>
  <si>
    <r>
      <t xml:space="preserve">Visita técnica en el cultivo de </t>
    </r>
    <r>
      <rPr>
        <b/>
        <sz val="12"/>
        <rFont val="Cambria"/>
        <family val="1"/>
      </rPr>
      <t>Mango</t>
    </r>
    <r>
      <rPr>
        <sz val="12"/>
        <rFont val="Cambria"/>
        <family val="1"/>
      </rPr>
      <t xml:space="preserve"> en Miches, se seleccionó la finca de mango y se decidió realizar los tipos de maduración de brotes y observar su impacto en la zona.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</si>
</sst>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00\ _€_-;\-* #,##0.00\ _€_-;_-* &quot;-&quot;??\ _€_-;_-@_-"/>
    <numFmt numFmtId="166" formatCode="_-* #,##0_-;\-* #,##0_-;_-* &quot;-&quot;??_-;_-@_-"/>
    <numFmt numFmtId="167" formatCode="_(* #,##0_);_(* \(#,##0\);_(* &quot;-&quot;??_);_(@_)"/>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4"/>
      <name val="Cambria"/>
      <family val="1"/>
    </font>
    <font>
      <b/>
      <sz val="12"/>
      <name val="Cambria"/>
      <family val="1"/>
    </font>
    <font>
      <b/>
      <u/>
      <sz val="14"/>
      <name val="Cambria"/>
      <family val="1"/>
    </font>
    <font>
      <sz val="11"/>
      <color rgb="FFFF0000"/>
      <name val="Cambria"/>
      <family val="1"/>
    </font>
    <font>
      <sz val="11"/>
      <name val="Cambria"/>
      <family val="1"/>
    </font>
    <font>
      <b/>
      <sz val="11"/>
      <name val="Cambria"/>
      <family val="1"/>
    </font>
    <font>
      <b/>
      <sz val="10"/>
      <name val="Cambria"/>
      <family val="1"/>
    </font>
    <font>
      <sz val="10"/>
      <name val="Cambria"/>
      <family val="1"/>
    </font>
    <font>
      <b/>
      <u/>
      <sz val="11"/>
      <name val="Cambria"/>
      <family val="1"/>
    </font>
    <font>
      <b/>
      <sz val="11"/>
      <color rgb="FFFF0000"/>
      <name val="Cambria"/>
      <family val="1"/>
    </font>
    <font>
      <sz val="11"/>
      <color theme="1"/>
      <name val="Times New Roman"/>
      <family val="1"/>
    </font>
    <font>
      <b/>
      <u/>
      <sz val="11"/>
      <color rgb="FFFF0000"/>
      <name val="Cambria"/>
      <family val="1"/>
    </font>
    <font>
      <sz val="11"/>
      <color theme="1"/>
      <name val="Cambria"/>
      <family val="1"/>
    </font>
    <font>
      <sz val="8"/>
      <color theme="1"/>
      <name val="Cambria"/>
      <family val="1"/>
    </font>
    <font>
      <b/>
      <sz val="11"/>
      <color theme="1"/>
      <name val="Cambria"/>
      <family val="1"/>
    </font>
    <font>
      <b/>
      <sz val="11"/>
      <color theme="1"/>
      <name val="Times New Roman"/>
      <family val="1"/>
    </font>
    <font>
      <b/>
      <sz val="11"/>
      <color theme="1"/>
      <name val="Calibri"/>
      <family val="2"/>
      <scheme val="minor"/>
    </font>
    <font>
      <sz val="8"/>
      <name val="Calibri"/>
      <family val="2"/>
      <scheme val="minor"/>
    </font>
    <font>
      <b/>
      <sz val="11"/>
      <color theme="3"/>
      <name val="Cambria"/>
      <family val="1"/>
    </font>
    <font>
      <sz val="12"/>
      <name val="Cambria"/>
      <family val="1"/>
    </font>
    <font>
      <b/>
      <sz val="11"/>
      <color rgb="FFFF0000"/>
      <name val="Calibri"/>
      <family val="2"/>
      <scheme val="minor"/>
    </font>
    <font>
      <sz val="10"/>
      <color theme="0"/>
      <name val="Cambria"/>
      <family val="1"/>
    </font>
    <font>
      <sz val="11"/>
      <name val="Times New Roman"/>
      <family val="1"/>
    </font>
    <font>
      <b/>
      <sz val="11"/>
      <name val="Times New Roman"/>
      <family val="1"/>
    </font>
    <font>
      <sz val="11"/>
      <name val="Calibri"/>
      <family val="2"/>
      <scheme val="minor"/>
    </font>
    <font>
      <sz val="12"/>
      <color rgb="FFFF0000"/>
      <name val="Cambria"/>
      <family val="1"/>
    </font>
    <font>
      <b/>
      <sz val="12"/>
      <color rgb="FFFF0000"/>
      <name val="Cambria"/>
      <family val="1"/>
    </font>
    <font>
      <sz val="12"/>
      <color theme="1"/>
      <name val="Cambria"/>
      <family val="1"/>
    </font>
    <font>
      <b/>
      <u/>
      <sz val="12"/>
      <name val="Cambria"/>
      <family val="1"/>
    </font>
    <font>
      <b/>
      <sz val="12"/>
      <color theme="1"/>
      <name val="Cambria"/>
      <family val="1"/>
    </font>
    <font>
      <sz val="12"/>
      <color theme="0"/>
      <name val="Cambria"/>
      <family val="1"/>
    </font>
    <font>
      <b/>
      <u/>
      <sz val="12"/>
      <color rgb="FFFF0000"/>
      <name val="Cambria"/>
      <family val="1"/>
    </font>
    <font>
      <b/>
      <sz val="12"/>
      <color theme="3"/>
      <name val="Cambria"/>
      <family val="1"/>
    </font>
    <font>
      <b/>
      <sz val="18"/>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D6DCE4"/>
        <bgColor rgb="FF000000"/>
      </patternFill>
    </fill>
  </fills>
  <borders count="6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s>
  <cellStyleXfs count="5">
    <xf numFmtId="0" fontId="0"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09">
    <xf numFmtId="0" fontId="0" fillId="0" borderId="0" xfId="0"/>
    <xf numFmtId="0" fontId="3" fillId="0" borderId="0" xfId="0" applyFont="1" applyAlignment="1">
      <alignment horizontal="center"/>
    </xf>
    <xf numFmtId="0" fontId="4" fillId="0" borderId="0" xfId="0" applyFont="1" applyAlignment="1">
      <alignment horizontal="center" wrapText="1"/>
    </xf>
    <xf numFmtId="0" fontId="3" fillId="0" borderId="0" xfId="0" applyFont="1" applyAlignment="1">
      <alignment horizontal="center" wrapText="1"/>
    </xf>
    <xf numFmtId="164" fontId="3" fillId="0" borderId="0" xfId="1" applyFont="1" applyBorder="1" applyAlignment="1">
      <alignment horizontal="center"/>
    </xf>
    <xf numFmtId="0" fontId="6" fillId="0" borderId="0" xfId="0" applyFont="1"/>
    <xf numFmtId="0" fontId="7" fillId="0" borderId="0" xfId="0" applyFont="1" applyAlignment="1">
      <alignment vertical="center" wrapText="1"/>
    </xf>
    <xf numFmtId="165" fontId="0" fillId="0" borderId="0" xfId="0" applyNumberFormat="1"/>
    <xf numFmtId="0" fontId="11" fillId="0" borderId="2" xfId="0" applyFont="1" applyBorder="1" applyAlignment="1">
      <alignment vertical="center" wrapText="1"/>
    </xf>
    <xf numFmtId="164" fontId="11" fillId="0" borderId="2" xfId="1" applyFont="1" applyBorder="1" applyAlignment="1">
      <alignment horizontal="right" vertical="center" wrapText="1"/>
    </xf>
    <xf numFmtId="164" fontId="8" fillId="0" borderId="2" xfId="1" applyFont="1" applyBorder="1" applyAlignment="1">
      <alignment horizontal="right" wrapText="1"/>
    </xf>
    <xf numFmtId="164" fontId="9" fillId="0" borderId="2" xfId="1" applyFont="1" applyBorder="1" applyAlignment="1">
      <alignment horizontal="right" wrapText="1"/>
    </xf>
    <xf numFmtId="0" fontId="7" fillId="0" borderId="2" xfId="0" applyFont="1" applyBorder="1" applyAlignment="1">
      <alignment wrapText="1"/>
    </xf>
    <xf numFmtId="164" fontId="7" fillId="0" borderId="2" xfId="1" applyFont="1" applyBorder="1" applyAlignment="1">
      <alignment horizontal="right" wrapText="1"/>
    </xf>
    <xf numFmtId="0" fontId="12" fillId="2" borderId="0" xfId="0" applyFont="1" applyFill="1" applyAlignment="1">
      <alignment horizontal="center" vertical="center" wrapText="1"/>
    </xf>
    <xf numFmtId="0" fontId="6" fillId="2" borderId="0" xfId="0" applyFont="1" applyFill="1" applyAlignment="1">
      <alignment wrapText="1"/>
    </xf>
    <xf numFmtId="4" fontId="12" fillId="2" borderId="0" xfId="0" applyNumberFormat="1" applyFont="1" applyFill="1" applyAlignment="1">
      <alignment horizontal="right" vertical="center" wrapText="1"/>
    </xf>
    <xf numFmtId="43" fontId="12" fillId="2" borderId="0" xfId="0" applyNumberFormat="1" applyFont="1" applyFill="1" applyAlignment="1">
      <alignment horizontal="right"/>
    </xf>
    <xf numFmtId="0" fontId="12" fillId="2" borderId="1" xfId="0" applyFont="1" applyFill="1" applyBorder="1" applyAlignment="1">
      <alignment horizontal="left" vertical="center" wrapText="1"/>
    </xf>
    <xf numFmtId="4" fontId="0" fillId="0" borderId="0" xfId="0" applyNumberFormat="1"/>
    <xf numFmtId="0" fontId="8" fillId="2" borderId="1" xfId="0" applyFont="1" applyFill="1" applyBorder="1" applyAlignment="1">
      <alignment horizontal="left" vertical="center" wrapText="1"/>
    </xf>
    <xf numFmtId="0" fontId="8" fillId="2" borderId="0" xfId="0" applyFont="1" applyFill="1" applyAlignment="1">
      <alignment horizontal="center" vertical="center" wrapText="1"/>
    </xf>
    <xf numFmtId="4" fontId="8" fillId="2" borderId="0" xfId="0" applyNumberFormat="1" applyFont="1" applyFill="1" applyAlignment="1">
      <alignment horizontal="right" vertical="center" wrapText="1"/>
    </xf>
    <xf numFmtId="0" fontId="7" fillId="2" borderId="0" xfId="0" applyFont="1" applyFill="1" applyAlignment="1">
      <alignment wrapText="1"/>
    </xf>
    <xf numFmtId="43" fontId="8" fillId="2" borderId="0" xfId="0" applyNumberFormat="1" applyFont="1" applyFill="1" applyAlignment="1">
      <alignment horizontal="right"/>
    </xf>
    <xf numFmtId="0" fontId="14" fillId="0" borderId="2" xfId="0" applyFont="1" applyBorder="1" applyAlignment="1">
      <alignment vertical="center" wrapText="1"/>
    </xf>
    <xf numFmtId="0" fontId="14" fillId="0" borderId="2" xfId="0" applyFont="1" applyBorder="1" applyAlignment="1">
      <alignment horizontal="right" vertical="center" wrapText="1"/>
    </xf>
    <xf numFmtId="4" fontId="8" fillId="0" borderId="2" xfId="0" applyNumberFormat="1" applyFont="1" applyBorder="1" applyAlignment="1">
      <alignment horizontal="right" wrapText="1"/>
    </xf>
    <xf numFmtId="0" fontId="6" fillId="0" borderId="2" xfId="0" applyFont="1" applyBorder="1" applyAlignment="1">
      <alignment wrapText="1"/>
    </xf>
    <xf numFmtId="0" fontId="6" fillId="0" borderId="2" xfId="0" applyFont="1" applyBorder="1" applyAlignment="1">
      <alignment horizontal="right" wrapText="1"/>
    </xf>
    <xf numFmtId="0" fontId="6" fillId="0" borderId="0" xfId="0" applyFont="1" applyAlignment="1">
      <alignment wrapText="1"/>
    </xf>
    <xf numFmtId="0" fontId="6" fillId="0" borderId="0" xfId="0" applyFont="1" applyAlignment="1">
      <alignment horizontal="right" wrapText="1"/>
    </xf>
    <xf numFmtId="4" fontId="8" fillId="0" borderId="0" xfId="0" applyNumberFormat="1" applyFont="1" applyAlignment="1">
      <alignment horizontal="right" wrapText="1"/>
    </xf>
    <xf numFmtId="43" fontId="7" fillId="0" borderId="22" xfId="0" applyNumberFormat="1" applyFont="1" applyBorder="1" applyAlignment="1">
      <alignment horizontal="right" wrapText="1"/>
    </xf>
    <xf numFmtId="4" fontId="7" fillId="0" borderId="23" xfId="0" applyNumberFormat="1" applyFont="1" applyBorder="1" applyAlignment="1">
      <alignment horizontal="right" wrapText="1"/>
    </xf>
    <xf numFmtId="4" fontId="8" fillId="0" borderId="24" xfId="0" applyNumberFormat="1" applyFont="1" applyBorder="1" applyAlignment="1">
      <alignment horizontal="right" wrapText="1"/>
    </xf>
    <xf numFmtId="4" fontId="7" fillId="2" borderId="26" xfId="0" applyNumberFormat="1" applyFont="1" applyFill="1" applyBorder="1" applyAlignment="1">
      <alignment horizontal="right" vertical="center" wrapText="1"/>
    </xf>
    <xf numFmtId="4" fontId="7" fillId="2" borderId="27" xfId="0" applyNumberFormat="1" applyFont="1" applyFill="1" applyBorder="1" applyAlignment="1">
      <alignment horizontal="right" vertical="center" wrapText="1"/>
    </xf>
    <xf numFmtId="4" fontId="8" fillId="0" borderId="28" xfId="0" applyNumberFormat="1" applyFont="1" applyBorder="1" applyAlignment="1">
      <alignment horizontal="right" wrapText="1"/>
    </xf>
    <xf numFmtId="4" fontId="7" fillId="2" borderId="15" xfId="0" applyNumberFormat="1" applyFont="1" applyFill="1" applyBorder="1" applyAlignment="1">
      <alignment horizontal="right" vertical="center" wrapText="1"/>
    </xf>
    <xf numFmtId="4" fontId="7" fillId="2" borderId="30" xfId="0" applyNumberFormat="1" applyFont="1" applyFill="1" applyBorder="1" applyAlignment="1">
      <alignment horizontal="right" vertical="center" wrapText="1"/>
    </xf>
    <xf numFmtId="4" fontId="8" fillId="4" borderId="28" xfId="0" applyNumberFormat="1" applyFont="1" applyFill="1" applyBorder="1" applyAlignment="1">
      <alignment horizontal="right" wrapText="1"/>
    </xf>
    <xf numFmtId="0" fontId="7" fillId="0" borderId="0" xfId="0" applyFont="1"/>
    <xf numFmtId="0" fontId="15" fillId="0" borderId="0" xfId="0" applyFont="1" applyAlignment="1">
      <alignment horizontal="center"/>
    </xf>
    <xf numFmtId="0" fontId="15" fillId="0" borderId="0" xfId="0" applyFont="1"/>
    <xf numFmtId="0" fontId="16" fillId="0" borderId="0" xfId="0" applyFont="1" applyAlignment="1">
      <alignment horizontal="left"/>
    </xf>
    <xf numFmtId="0" fontId="15" fillId="0" borderId="0" xfId="0" applyFont="1" applyAlignment="1">
      <alignment horizontal="center" vertical="center"/>
    </xf>
    <xf numFmtId="0" fontId="17" fillId="0" borderId="0" xfId="0" applyFont="1"/>
    <xf numFmtId="0" fontId="2" fillId="0" borderId="0" xfId="0" applyFont="1"/>
    <xf numFmtId="0" fontId="10" fillId="2"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0" fillId="3" borderId="15" xfId="0" applyFont="1" applyFill="1" applyBorder="1" applyAlignment="1">
      <alignment horizontal="center" vertical="center"/>
    </xf>
    <xf numFmtId="0" fontId="7" fillId="2" borderId="15" xfId="0" applyFont="1" applyFill="1" applyBorder="1" applyAlignment="1">
      <alignment horizontal="center" vertical="center"/>
    </xf>
    <xf numFmtId="4" fontId="7" fillId="2" borderId="15" xfId="0" applyNumberFormat="1" applyFont="1" applyFill="1" applyBorder="1" applyAlignment="1">
      <alignment horizontal="center" vertical="center"/>
    </xf>
    <xf numFmtId="4" fontId="8" fillId="2" borderId="14" xfId="0" applyNumberFormat="1" applyFont="1" applyFill="1" applyBorder="1" applyAlignment="1">
      <alignment horizontal="right" vertical="center" wrapText="1"/>
    </xf>
    <xf numFmtId="164" fontId="8" fillId="2" borderId="14" xfId="1" applyFont="1" applyFill="1" applyBorder="1" applyAlignment="1">
      <alignment horizontal="right" vertical="center" wrapText="1"/>
    </xf>
    <xf numFmtId="164" fontId="8" fillId="2" borderId="15" xfId="1" applyFont="1" applyFill="1" applyBorder="1" applyAlignment="1">
      <alignment horizontal="center" vertical="center" wrapText="1"/>
    </xf>
    <xf numFmtId="0" fontId="7" fillId="2" borderId="14" xfId="0" applyFont="1" applyFill="1" applyBorder="1" applyAlignment="1">
      <alignment wrapText="1"/>
    </xf>
    <xf numFmtId="164" fontId="8" fillId="0" borderId="14" xfId="1" applyFont="1" applyBorder="1" applyAlignment="1">
      <alignment horizontal="right" wrapText="1"/>
    </xf>
    <xf numFmtId="0" fontId="11" fillId="2" borderId="15" xfId="0" applyFont="1" applyFill="1" applyBorder="1" applyAlignment="1">
      <alignment horizontal="center" vertical="center" wrapText="1"/>
    </xf>
    <xf numFmtId="4" fontId="8" fillId="2" borderId="15" xfId="0" applyNumberFormat="1" applyFont="1" applyFill="1" applyBorder="1" applyAlignment="1">
      <alignment horizontal="right" vertical="center" wrapText="1"/>
    </xf>
    <xf numFmtId="164" fontId="8" fillId="2" borderId="15" xfId="1" applyFont="1" applyFill="1" applyBorder="1" applyAlignment="1">
      <alignment horizontal="right" vertical="center" wrapText="1"/>
    </xf>
    <xf numFmtId="0" fontId="5" fillId="5" borderId="0" xfId="0" applyFont="1" applyFill="1" applyAlignment="1">
      <alignment wrapText="1"/>
    </xf>
    <xf numFmtId="0" fontId="9" fillId="6" borderId="3" xfId="0" applyFont="1" applyFill="1" applyBorder="1" applyAlignment="1">
      <alignment vertical="center" wrapText="1"/>
    </xf>
    <xf numFmtId="0" fontId="9" fillId="6" borderId="10" xfId="0" applyFont="1" applyFill="1" applyBorder="1" applyAlignment="1">
      <alignment horizontal="center" vertical="center" wrapText="1"/>
    </xf>
    <xf numFmtId="0" fontId="8" fillId="6" borderId="2" xfId="0" applyFont="1" applyFill="1" applyBorder="1" applyAlignment="1">
      <alignment horizontal="center"/>
    </xf>
    <xf numFmtId="0" fontId="9" fillId="6" borderId="5" xfId="0" applyFont="1" applyFill="1" applyBorder="1" applyAlignment="1">
      <alignment horizontal="left" vertical="center" wrapText="1"/>
    </xf>
    <xf numFmtId="0" fontId="8" fillId="6" borderId="18" xfId="0" applyFont="1" applyFill="1" applyBorder="1" applyAlignment="1">
      <alignment wrapText="1"/>
    </xf>
    <xf numFmtId="0" fontId="4" fillId="6" borderId="19" xfId="0" applyFont="1" applyFill="1" applyBorder="1" applyAlignment="1">
      <alignment horizontal="left" wrapText="1"/>
    </xf>
    <xf numFmtId="0" fontId="4" fillId="6" borderId="19" xfId="0" applyFont="1" applyFill="1" applyBorder="1" applyAlignment="1">
      <alignment wrapText="1"/>
    </xf>
    <xf numFmtId="4" fontId="4" fillId="6" borderId="20" xfId="0" applyNumberFormat="1" applyFont="1" applyFill="1" applyBorder="1" applyAlignment="1">
      <alignment horizontal="left" wrapText="1"/>
    </xf>
    <xf numFmtId="4" fontId="8" fillId="6" borderId="2" xfId="0" applyNumberFormat="1" applyFont="1" applyFill="1" applyBorder="1" applyAlignment="1">
      <alignment horizontal="left" wrapText="1"/>
    </xf>
    <xf numFmtId="0" fontId="8" fillId="6" borderId="21" xfId="0" applyFont="1" applyFill="1" applyBorder="1" applyAlignment="1">
      <alignment wrapText="1"/>
    </xf>
    <xf numFmtId="0" fontId="8" fillId="6" borderId="25" xfId="0" applyFont="1" applyFill="1" applyBorder="1" applyAlignment="1">
      <alignment horizontal="center" wrapText="1"/>
    </xf>
    <xf numFmtId="0" fontId="8" fillId="6" borderId="29" xfId="0" applyFont="1" applyFill="1" applyBorder="1" applyAlignment="1">
      <alignment wrapText="1"/>
    </xf>
    <xf numFmtId="0" fontId="8" fillId="6" borderId="31" xfId="0" applyFont="1" applyFill="1" applyBorder="1" applyAlignment="1">
      <alignment wrapText="1"/>
    </xf>
    <xf numFmtId="4" fontId="8" fillId="6" borderId="32" xfId="0" applyNumberFormat="1" applyFont="1" applyFill="1" applyBorder="1" applyAlignment="1">
      <alignment horizontal="right" vertical="center" wrapText="1"/>
    </xf>
    <xf numFmtId="4" fontId="8" fillId="6" borderId="33" xfId="0" applyNumberFormat="1" applyFont="1" applyFill="1" applyBorder="1" applyAlignment="1">
      <alignment horizontal="right" vertical="center" wrapText="1"/>
    </xf>
    <xf numFmtId="4" fontId="8" fillId="6" borderId="34" xfId="0" applyNumberFormat="1" applyFont="1" applyFill="1" applyBorder="1" applyAlignment="1">
      <alignment horizontal="right" wrapText="1"/>
    </xf>
    <xf numFmtId="0" fontId="9" fillId="6" borderId="5"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8" fillId="2" borderId="15" xfId="0" applyFont="1" applyFill="1" applyBorder="1" applyAlignment="1">
      <alignment horizontal="center" vertical="center" wrapText="1"/>
    </xf>
    <xf numFmtId="14" fontId="7" fillId="2" borderId="15" xfId="0" applyNumberFormat="1" applyFont="1" applyFill="1" applyBorder="1" applyAlignment="1">
      <alignment horizontal="center" vertical="center" wrapText="1"/>
    </xf>
    <xf numFmtId="0" fontId="8" fillId="6" borderId="29" xfId="0" applyFont="1" applyFill="1" applyBorder="1" applyAlignment="1">
      <alignment horizontal="center" vertical="center" wrapText="1"/>
    </xf>
    <xf numFmtId="164" fontId="8" fillId="2" borderId="28" xfId="1" applyFont="1" applyFill="1" applyBorder="1" applyAlignment="1">
      <alignment horizontal="center" vertical="center" wrapText="1"/>
    </xf>
    <xf numFmtId="164" fontId="8" fillId="2" borderId="28" xfId="1" applyFont="1" applyFill="1" applyBorder="1" applyAlignment="1">
      <alignment horizontal="right"/>
    </xf>
    <xf numFmtId="0" fontId="6" fillId="2" borderId="14" xfId="0" applyFont="1" applyFill="1" applyBorder="1" applyAlignment="1">
      <alignment wrapText="1"/>
    </xf>
    <xf numFmtId="4" fontId="12" fillId="2" borderId="14" xfId="0" applyNumberFormat="1" applyFont="1" applyFill="1" applyBorder="1" applyAlignment="1">
      <alignment horizontal="right" vertical="center" wrapText="1"/>
    </xf>
    <xf numFmtId="164" fontId="12" fillId="2" borderId="14" xfId="1" applyFont="1" applyFill="1" applyBorder="1" applyAlignment="1">
      <alignment horizontal="right" vertical="center" wrapText="1"/>
    </xf>
    <xf numFmtId="0" fontId="10" fillId="0" borderId="15" xfId="0" applyFont="1" applyBorder="1" applyAlignment="1">
      <alignment horizontal="center" vertical="center" wrapText="1"/>
    </xf>
    <xf numFmtId="0" fontId="10" fillId="0" borderId="15" xfId="0" applyFont="1" applyBorder="1" applyAlignment="1">
      <alignment horizontal="left" vertical="center" wrapText="1"/>
    </xf>
    <xf numFmtId="16" fontId="10" fillId="0" borderId="15" xfId="0" applyNumberFormat="1" applyFont="1" applyBorder="1" applyAlignment="1">
      <alignment horizontal="center" vertical="center" wrapText="1"/>
    </xf>
    <xf numFmtId="0" fontId="10" fillId="0" borderId="15" xfId="0" applyFont="1" applyBorder="1" applyAlignment="1">
      <alignment horizontal="center" vertical="center"/>
    </xf>
    <xf numFmtId="0" fontId="7" fillId="0" borderId="15" xfId="0" applyFont="1" applyBorder="1" applyAlignment="1">
      <alignment horizontal="center" vertical="center" wrapText="1"/>
    </xf>
    <xf numFmtId="166" fontId="8" fillId="2" borderId="15" xfId="1" applyNumberFormat="1" applyFont="1" applyFill="1" applyBorder="1" applyAlignment="1">
      <alignment horizontal="center" vertical="center"/>
    </xf>
    <xf numFmtId="164" fontId="8" fillId="2" borderId="15" xfId="1" applyFont="1" applyFill="1" applyBorder="1" applyAlignment="1">
      <alignment horizontal="center" vertical="center"/>
    </xf>
    <xf numFmtId="0" fontId="14" fillId="2" borderId="15" xfId="0" applyFont="1" applyFill="1" applyBorder="1" applyAlignment="1">
      <alignment horizontal="center" vertical="center" wrapText="1"/>
    </xf>
    <xf numFmtId="4" fontId="12" fillId="2" borderId="15" xfId="0" applyNumberFormat="1" applyFont="1" applyFill="1" applyBorder="1" applyAlignment="1">
      <alignment horizontal="right" vertical="center" wrapText="1"/>
    </xf>
    <xf numFmtId="164" fontId="12" fillId="2" borderId="15" xfId="1" applyFont="1" applyFill="1" applyBorder="1" applyAlignment="1">
      <alignment horizontal="right" vertical="center" wrapText="1"/>
    </xf>
    <xf numFmtId="0" fontId="8" fillId="6" borderId="13" xfId="0" applyFont="1" applyFill="1" applyBorder="1" applyAlignment="1">
      <alignment horizontal="center"/>
    </xf>
    <xf numFmtId="4" fontId="8" fillId="0" borderId="14" xfId="0" applyNumberFormat="1" applyFont="1" applyBorder="1" applyAlignment="1">
      <alignment horizontal="center"/>
    </xf>
    <xf numFmtId="0" fontId="15" fillId="0" borderId="15" xfId="0" applyFont="1" applyBorder="1" applyAlignment="1">
      <alignment wrapText="1"/>
    </xf>
    <xf numFmtId="0" fontId="8" fillId="6" borderId="14" xfId="0" applyFont="1" applyFill="1" applyBorder="1" applyAlignment="1">
      <alignment horizontal="center"/>
    </xf>
    <xf numFmtId="164" fontId="8" fillId="2" borderId="14" xfId="1" applyFont="1" applyFill="1" applyBorder="1" applyAlignment="1">
      <alignment horizontal="center"/>
    </xf>
    <xf numFmtId="0" fontId="7" fillId="2" borderId="15" xfId="0" applyFont="1" applyFill="1" applyBorder="1" applyAlignment="1">
      <alignment horizontal="center" vertical="top" wrapText="1"/>
    </xf>
    <xf numFmtId="0" fontId="6" fillId="2" borderId="15" xfId="0" applyFont="1" applyFill="1" applyBorder="1" applyAlignment="1">
      <alignment horizontal="center" vertical="center"/>
    </xf>
    <xf numFmtId="4" fontId="10" fillId="0" borderId="15" xfId="0" quotePrefix="1" applyNumberFormat="1" applyFont="1" applyBorder="1" applyAlignment="1">
      <alignment horizontal="center" vertical="center"/>
    </xf>
    <xf numFmtId="0" fontId="7" fillId="6" borderId="29" xfId="0" applyFont="1" applyFill="1" applyBorder="1" applyAlignment="1">
      <alignment horizontal="center" vertical="center"/>
    </xf>
    <xf numFmtId="4" fontId="7" fillId="2" borderId="28" xfId="0" applyNumberFormat="1" applyFont="1" applyFill="1" applyBorder="1" applyAlignment="1">
      <alignment horizontal="center" vertical="center"/>
    </xf>
    <xf numFmtId="0" fontId="10" fillId="6" borderId="29" xfId="0" applyFont="1" applyFill="1" applyBorder="1" applyAlignment="1">
      <alignment horizontal="center" vertical="center"/>
    </xf>
    <xf numFmtId="10" fontId="7" fillId="0" borderId="0" xfId="0" applyNumberFormat="1" applyFont="1"/>
    <xf numFmtId="10" fontId="7" fillId="2" borderId="0" xfId="0" applyNumberFormat="1" applyFont="1" applyFill="1" applyAlignment="1">
      <alignment wrapText="1"/>
    </xf>
    <xf numFmtId="9" fontId="8" fillId="0" borderId="0" xfId="0" applyNumberFormat="1" applyFont="1" applyAlignment="1">
      <alignment horizontal="right" wrapText="1"/>
    </xf>
    <xf numFmtId="0" fontId="19" fillId="0" borderId="0" xfId="0" applyFont="1" applyAlignment="1">
      <alignment horizontal="center"/>
    </xf>
    <xf numFmtId="0" fontId="8" fillId="0" borderId="0" xfId="0" applyFont="1" applyAlignment="1">
      <alignment horizontal="center" vertical="center" wrapText="1"/>
    </xf>
    <xf numFmtId="9" fontId="7" fillId="0" borderId="22" xfId="0" applyNumberFormat="1" applyFont="1" applyBorder="1" applyAlignment="1">
      <alignment horizontal="right" wrapText="1"/>
    </xf>
    <xf numFmtId="9" fontId="7" fillId="0" borderId="23" xfId="0" applyNumberFormat="1" applyFont="1" applyBorder="1" applyAlignment="1">
      <alignment horizontal="right" wrapText="1"/>
    </xf>
    <xf numFmtId="9" fontId="8" fillId="0" borderId="24" xfId="0" applyNumberFormat="1" applyFont="1" applyBorder="1" applyAlignment="1">
      <alignment horizontal="right" wrapText="1"/>
    </xf>
    <xf numFmtId="9" fontId="8" fillId="6" borderId="32" xfId="0" applyNumberFormat="1" applyFont="1" applyFill="1" applyBorder="1" applyAlignment="1">
      <alignment horizontal="right" vertical="center" wrapText="1"/>
    </xf>
    <xf numFmtId="9" fontId="8" fillId="6" borderId="33" xfId="0" applyNumberFormat="1" applyFont="1" applyFill="1" applyBorder="1" applyAlignment="1">
      <alignment horizontal="right" vertical="center" wrapText="1"/>
    </xf>
    <xf numFmtId="9" fontId="8" fillId="6" borderId="34" xfId="0" applyNumberFormat="1" applyFont="1" applyFill="1" applyBorder="1" applyAlignment="1">
      <alignment horizontal="right" wrapText="1"/>
    </xf>
    <xf numFmtId="4" fontId="4" fillId="6" borderId="20" xfId="0" applyNumberFormat="1" applyFont="1" applyFill="1" applyBorder="1" applyAlignment="1">
      <alignment horizontal="left"/>
    </xf>
    <xf numFmtId="0" fontId="8" fillId="6" borderId="21" xfId="0" applyFont="1" applyFill="1" applyBorder="1"/>
    <xf numFmtId="0" fontId="8" fillId="6" borderId="25" xfId="0" applyFont="1" applyFill="1" applyBorder="1" applyAlignment="1">
      <alignment horizontal="left"/>
    </xf>
    <xf numFmtId="167" fontId="7" fillId="0" borderId="22" xfId="0" applyNumberFormat="1" applyFont="1" applyBorder="1" applyAlignment="1">
      <alignment horizontal="right" wrapText="1"/>
    </xf>
    <xf numFmtId="3" fontId="8" fillId="6" borderId="32" xfId="0" applyNumberFormat="1" applyFont="1" applyFill="1" applyBorder="1" applyAlignment="1">
      <alignment horizontal="right" vertical="center" wrapText="1"/>
    </xf>
    <xf numFmtId="0" fontId="7" fillId="0" borderId="22" xfId="0" applyFont="1" applyBorder="1" applyAlignment="1">
      <alignment horizontal="right" wrapText="1"/>
    </xf>
    <xf numFmtId="0" fontId="7" fillId="2" borderId="26" xfId="0" applyFont="1" applyFill="1" applyBorder="1" applyAlignment="1">
      <alignment horizontal="right" vertical="center" wrapText="1"/>
    </xf>
    <xf numFmtId="164" fontId="7" fillId="2" borderId="15" xfId="1" applyFont="1" applyFill="1" applyBorder="1" applyAlignment="1">
      <alignment horizontal="right" vertical="center" wrapText="1"/>
    </xf>
    <xf numFmtId="164" fontId="7" fillId="2" borderId="26" xfId="1" applyFont="1" applyFill="1" applyBorder="1" applyAlignment="1">
      <alignment horizontal="right" vertical="center" wrapText="1"/>
    </xf>
    <xf numFmtId="10" fontId="7" fillId="0" borderId="22" xfId="0" applyNumberFormat="1" applyFont="1" applyBorder="1" applyAlignment="1">
      <alignment horizontal="right" wrapText="1"/>
    </xf>
    <xf numFmtId="10" fontId="7" fillId="2" borderId="26" xfId="0" applyNumberFormat="1" applyFont="1" applyFill="1" applyBorder="1" applyAlignment="1">
      <alignment horizontal="right" vertical="center" wrapText="1"/>
    </xf>
    <xf numFmtId="10" fontId="8" fillId="0" borderId="28" xfId="0" applyNumberFormat="1" applyFont="1" applyBorder="1" applyAlignment="1">
      <alignment horizontal="right" wrapText="1"/>
    </xf>
    <xf numFmtId="10" fontId="7" fillId="2" borderId="15" xfId="0" applyNumberFormat="1" applyFont="1" applyFill="1" applyBorder="1" applyAlignment="1">
      <alignment horizontal="right" vertical="center" wrapText="1"/>
    </xf>
    <xf numFmtId="10" fontId="8" fillId="2" borderId="28" xfId="0" applyNumberFormat="1" applyFont="1" applyFill="1" applyBorder="1" applyAlignment="1">
      <alignment horizontal="right" wrapText="1"/>
    </xf>
    <xf numFmtId="10" fontId="8" fillId="6" borderId="32" xfId="0" applyNumberFormat="1" applyFont="1" applyFill="1" applyBorder="1" applyAlignment="1">
      <alignment horizontal="right" vertical="center" wrapText="1"/>
    </xf>
    <xf numFmtId="167" fontId="7" fillId="2" borderId="26" xfId="0" applyNumberFormat="1" applyFont="1" applyFill="1" applyBorder="1" applyAlignment="1">
      <alignment horizontal="right" vertical="center" wrapText="1"/>
    </xf>
    <xf numFmtId="3" fontId="7" fillId="0" borderId="23" xfId="0" applyNumberFormat="1" applyFont="1" applyBorder="1" applyAlignment="1">
      <alignment horizontal="right" wrapText="1"/>
    </xf>
    <xf numFmtId="3" fontId="7" fillId="2" borderId="27" xfId="0" applyNumberFormat="1" applyFont="1" applyFill="1" applyBorder="1" applyAlignment="1">
      <alignment horizontal="right" vertical="center" wrapText="1"/>
    </xf>
    <xf numFmtId="3" fontId="8" fillId="0" borderId="24" xfId="0" applyNumberFormat="1" applyFont="1" applyBorder="1" applyAlignment="1">
      <alignment horizontal="right" wrapText="1"/>
    </xf>
    <xf numFmtId="9" fontId="7" fillId="2" borderId="26" xfId="0" applyNumberFormat="1" applyFont="1" applyFill="1" applyBorder="1" applyAlignment="1">
      <alignment horizontal="right" vertical="center" wrapText="1"/>
    </xf>
    <xf numFmtId="9" fontId="7" fillId="2" borderId="27" xfId="0" applyNumberFormat="1" applyFont="1" applyFill="1" applyBorder="1" applyAlignment="1">
      <alignment horizontal="right" vertical="center" wrapText="1"/>
    </xf>
    <xf numFmtId="9" fontId="7" fillId="2" borderId="30" xfId="0" applyNumberFormat="1" applyFont="1" applyFill="1" applyBorder="1" applyAlignment="1">
      <alignment horizontal="right" vertical="center" wrapText="1"/>
    </xf>
    <xf numFmtId="10" fontId="8" fillId="6" borderId="33" xfId="0" applyNumberFormat="1" applyFont="1" applyFill="1" applyBorder="1" applyAlignment="1">
      <alignment horizontal="right" vertical="center" wrapText="1"/>
    </xf>
    <xf numFmtId="10" fontId="8" fillId="6" borderId="34" xfId="0" applyNumberFormat="1" applyFont="1" applyFill="1" applyBorder="1" applyAlignment="1">
      <alignment horizontal="right" wrapText="1"/>
    </xf>
    <xf numFmtId="9" fontId="8" fillId="0" borderId="28" xfId="0" applyNumberFormat="1" applyFont="1" applyBorder="1" applyAlignment="1">
      <alignment horizontal="right" wrapText="1"/>
    </xf>
    <xf numFmtId="9" fontId="8" fillId="0" borderId="28" xfId="0" applyNumberFormat="1" applyFont="1" applyBorder="1" applyAlignment="1">
      <alignment horizontal="right" wrapText="1" indent="1"/>
    </xf>
    <xf numFmtId="164" fontId="0" fillId="0" borderId="0" xfId="1" applyFont="1"/>
    <xf numFmtId="0" fontId="7" fillId="6" borderId="29" xfId="0" applyFont="1" applyFill="1" applyBorder="1" applyAlignment="1">
      <alignment horizontal="center" vertical="center" wrapText="1"/>
    </xf>
    <xf numFmtId="0" fontId="15" fillId="0" borderId="0" xfId="0" applyFont="1" applyAlignment="1">
      <alignment wrapText="1"/>
    </xf>
    <xf numFmtId="4" fontId="8" fillId="0" borderId="2" xfId="0" applyNumberFormat="1" applyFont="1" applyBorder="1" applyAlignment="1">
      <alignment horizontal="center"/>
    </xf>
    <xf numFmtId="4" fontId="8" fillId="0" borderId="0" xfId="0" applyNumberFormat="1" applyFont="1" applyAlignment="1">
      <alignment horizontal="center"/>
    </xf>
    <xf numFmtId="0" fontId="8" fillId="6" borderId="3" xfId="0" applyFont="1" applyFill="1" applyBorder="1" applyAlignment="1">
      <alignment horizontal="center" vertical="center" wrapText="1"/>
    </xf>
    <xf numFmtId="0" fontId="7" fillId="6" borderId="7" xfId="0" applyFont="1" applyFill="1" applyBorder="1" applyAlignment="1">
      <alignment wrapText="1"/>
    </xf>
    <xf numFmtId="164" fontId="8" fillId="6" borderId="18" xfId="1" applyFont="1" applyFill="1" applyBorder="1" applyAlignment="1">
      <alignment wrapText="1"/>
    </xf>
    <xf numFmtId="2" fontId="6" fillId="0" borderId="0" xfId="0" applyNumberFormat="1" applyFont="1" applyAlignment="1">
      <alignment wrapText="1"/>
    </xf>
    <xf numFmtId="164" fontId="8" fillId="6" borderId="21" xfId="1" applyFont="1" applyFill="1" applyBorder="1" applyAlignment="1">
      <alignment wrapText="1"/>
    </xf>
    <xf numFmtId="164" fontId="8" fillId="6" borderId="25" xfId="1" applyFont="1" applyFill="1" applyBorder="1" applyAlignment="1">
      <alignment horizontal="center" wrapText="1"/>
    </xf>
    <xf numFmtId="0" fontId="8" fillId="6" borderId="25" xfId="0" applyFont="1" applyFill="1" applyBorder="1" applyAlignment="1">
      <alignment wrapText="1"/>
    </xf>
    <xf numFmtId="164" fontId="8" fillId="6" borderId="25" xfId="1" applyFont="1" applyFill="1" applyBorder="1" applyAlignment="1">
      <alignment wrapText="1"/>
    </xf>
    <xf numFmtId="4" fontId="8" fillId="6" borderId="19" xfId="0" applyNumberFormat="1" applyFont="1" applyFill="1" applyBorder="1" applyAlignment="1">
      <alignment horizontal="right" vertical="center" wrapText="1"/>
    </xf>
    <xf numFmtId="4" fontId="8" fillId="6" borderId="20" xfId="0" applyNumberFormat="1" applyFont="1" applyFill="1" applyBorder="1" applyAlignment="1">
      <alignment horizontal="right" vertical="center" wrapText="1"/>
    </xf>
    <xf numFmtId="4" fontId="8" fillId="6" borderId="40" xfId="0" applyNumberFormat="1" applyFont="1" applyFill="1" applyBorder="1" applyAlignment="1">
      <alignment horizontal="right" vertical="center" wrapText="1"/>
    </xf>
    <xf numFmtId="4" fontId="8" fillId="6" borderId="41" xfId="0" applyNumberFormat="1" applyFont="1" applyFill="1" applyBorder="1" applyAlignment="1">
      <alignment horizontal="right" wrapText="1"/>
    </xf>
    <xf numFmtId="0" fontId="8" fillId="2" borderId="0" xfId="0" applyFont="1" applyFill="1" applyAlignment="1">
      <alignment wrapText="1"/>
    </xf>
    <xf numFmtId="0" fontId="8" fillId="6" borderId="25" xfId="0" applyFont="1" applyFill="1" applyBorder="1" applyAlignment="1">
      <alignment horizontal="left" wrapText="1"/>
    </xf>
    <xf numFmtId="164" fontId="8" fillId="6" borderId="21" xfId="1" applyFont="1" applyFill="1" applyBorder="1" applyAlignment="1"/>
    <xf numFmtId="164" fontId="8" fillId="6" borderId="25" xfId="1" applyFont="1" applyFill="1" applyBorder="1" applyAlignment="1">
      <alignment horizontal="left"/>
    </xf>
    <xf numFmtId="0" fontId="8" fillId="6" borderId="29" xfId="0" applyFont="1" applyFill="1" applyBorder="1"/>
    <xf numFmtId="164" fontId="8" fillId="6" borderId="29" xfId="1" applyFont="1" applyFill="1" applyBorder="1" applyAlignment="1">
      <alignment wrapText="1"/>
    </xf>
    <xf numFmtId="0" fontId="8" fillId="6" borderId="29" xfId="0" applyFont="1" applyFill="1" applyBorder="1" applyAlignment="1">
      <alignment horizontal="left"/>
    </xf>
    <xf numFmtId="9" fontId="7" fillId="2" borderId="15" xfId="0" applyNumberFormat="1" applyFont="1" applyFill="1" applyBorder="1" applyAlignment="1">
      <alignment horizontal="right" vertical="center" wrapText="1"/>
    </xf>
    <xf numFmtId="164" fontId="8" fillId="6" borderId="31" xfId="1" applyFont="1" applyFill="1" applyBorder="1" applyAlignment="1">
      <alignment wrapText="1"/>
    </xf>
    <xf numFmtId="4" fontId="4" fillId="6" borderId="20" xfId="0" applyNumberFormat="1" applyFont="1" applyFill="1" applyBorder="1" applyAlignment="1">
      <alignment horizontal="center" wrapText="1"/>
    </xf>
    <xf numFmtId="4" fontId="15" fillId="0" borderId="0" xfId="0" applyNumberFormat="1" applyFont="1" applyAlignment="1">
      <alignment horizontal="center"/>
    </xf>
    <xf numFmtId="0" fontId="7" fillId="2" borderId="42" xfId="0" applyFont="1" applyFill="1" applyBorder="1" applyAlignment="1">
      <alignment horizontal="center" vertical="center" wrapText="1"/>
    </xf>
    <xf numFmtId="43" fontId="6" fillId="0" borderId="22" xfId="0" applyNumberFormat="1" applyFont="1" applyBorder="1" applyAlignment="1">
      <alignment horizontal="right" wrapText="1"/>
    </xf>
    <xf numFmtId="4" fontId="7" fillId="2" borderId="0" xfId="0" applyNumberFormat="1" applyFont="1" applyFill="1" applyAlignment="1">
      <alignment wrapText="1"/>
    </xf>
    <xf numFmtId="165" fontId="15" fillId="0" borderId="0" xfId="0" applyNumberFormat="1" applyFont="1"/>
    <xf numFmtId="2" fontId="8" fillId="0" borderId="2" xfId="0" applyNumberFormat="1" applyFont="1" applyBorder="1" applyAlignment="1">
      <alignment horizontal="right" wrapText="1"/>
    </xf>
    <xf numFmtId="4" fontId="7" fillId="2" borderId="0" xfId="0" applyNumberFormat="1" applyFont="1" applyFill="1" applyAlignment="1">
      <alignment horizontal="right" vertical="center" wrapText="1"/>
    </xf>
    <xf numFmtId="0" fontId="15" fillId="0" borderId="0" xfId="0" applyFont="1" applyAlignment="1">
      <alignment horizontal="left"/>
    </xf>
    <xf numFmtId="0" fontId="17" fillId="0" borderId="0" xfId="0" applyFont="1" applyAlignment="1">
      <alignment horizontal="left"/>
    </xf>
    <xf numFmtId="0" fontId="17" fillId="0" borderId="0" xfId="0" applyFont="1" applyAlignment="1">
      <alignment horizontal="center"/>
    </xf>
    <xf numFmtId="4" fontId="15" fillId="0" borderId="0" xfId="0" applyNumberFormat="1" applyFont="1"/>
    <xf numFmtId="4" fontId="15" fillId="0" borderId="0" xfId="0" applyNumberFormat="1" applyFont="1" applyAlignment="1">
      <alignment horizontal="center" vertical="center"/>
    </xf>
    <xf numFmtId="3" fontId="10" fillId="0" borderId="48" xfId="0" applyNumberFormat="1" applyFont="1" applyBorder="1" applyAlignment="1">
      <alignment horizontal="center" vertical="center" wrapText="1"/>
    </xf>
    <xf numFmtId="3" fontId="10" fillId="0" borderId="0" xfId="0" applyNumberFormat="1" applyFont="1" applyAlignment="1">
      <alignment horizontal="center" vertical="center" wrapText="1"/>
    </xf>
    <xf numFmtId="0" fontId="8" fillId="6" borderId="49" xfId="0" applyFont="1" applyFill="1" applyBorder="1" applyAlignment="1">
      <alignment wrapText="1"/>
    </xf>
    <xf numFmtId="0" fontId="4" fillId="6" borderId="50" xfId="0" applyFont="1" applyFill="1" applyBorder="1" applyAlignment="1">
      <alignment horizontal="left" wrapText="1"/>
    </xf>
    <xf numFmtId="0" fontId="4" fillId="6" borderId="50" xfId="0" applyFont="1" applyFill="1" applyBorder="1" applyAlignment="1">
      <alignment wrapText="1"/>
    </xf>
    <xf numFmtId="4" fontId="4" fillId="6" borderId="51" xfId="0" applyNumberFormat="1" applyFont="1" applyFill="1" applyBorder="1" applyAlignment="1">
      <alignment horizontal="left" wrapText="1"/>
    </xf>
    <xf numFmtId="4" fontId="8" fillId="6" borderId="14" xfId="0" applyNumberFormat="1" applyFont="1" applyFill="1" applyBorder="1" applyAlignment="1">
      <alignment horizontal="left" wrapText="1"/>
    </xf>
    <xf numFmtId="0" fontId="19" fillId="0" borderId="0" xfId="0" applyFont="1"/>
    <xf numFmtId="43" fontId="8" fillId="0" borderId="0" xfId="0" applyNumberFormat="1" applyFont="1" applyAlignment="1">
      <alignment horizontal="right"/>
    </xf>
    <xf numFmtId="0" fontId="7" fillId="0" borderId="15" xfId="0" applyFont="1" applyBorder="1" applyAlignment="1">
      <alignment horizontal="center" vertical="center"/>
    </xf>
    <xf numFmtId="4" fontId="7" fillId="0" borderId="15" xfId="0" applyNumberFormat="1" applyFont="1" applyBorder="1" applyAlignment="1">
      <alignment horizontal="center" vertical="center"/>
    </xf>
    <xf numFmtId="43" fontId="7" fillId="0" borderId="15" xfId="2" applyFont="1" applyFill="1" applyBorder="1" applyAlignment="1">
      <alignment horizontal="center" vertical="center" wrapText="1"/>
    </xf>
    <xf numFmtId="0" fontId="7" fillId="0" borderId="26" xfId="0" applyFont="1" applyBorder="1" applyAlignment="1">
      <alignment horizontal="center" vertical="center" wrapText="1"/>
    </xf>
    <xf numFmtId="14" fontId="7" fillId="0" borderId="15" xfId="0" applyNumberFormat="1" applyFont="1" applyBorder="1" applyAlignment="1">
      <alignment horizontal="center" vertical="center" wrapText="1"/>
    </xf>
    <xf numFmtId="4" fontId="10" fillId="0" borderId="15" xfId="0" applyNumberFormat="1" applyFont="1" applyBorder="1" applyAlignment="1">
      <alignment horizontal="center" vertical="center"/>
    </xf>
    <xf numFmtId="0" fontId="7" fillId="0" borderId="22" xfId="0" applyFont="1" applyBorder="1" applyAlignment="1">
      <alignment horizontal="center" vertical="center" wrapText="1"/>
    </xf>
    <xf numFmtId="0" fontId="7" fillId="0" borderId="22" xfId="0" applyFont="1" applyBorder="1" applyAlignment="1">
      <alignment horizontal="center" vertical="center"/>
    </xf>
    <xf numFmtId="4" fontId="7" fillId="0" borderId="22" xfId="0" applyNumberFormat="1" applyFont="1" applyBorder="1" applyAlignment="1">
      <alignment horizontal="center" vertical="center"/>
    </xf>
    <xf numFmtId="0" fontId="7" fillId="0" borderId="15" xfId="0" applyFont="1" applyBorder="1" applyAlignment="1">
      <alignment horizontal="left" vertical="top" wrapText="1"/>
    </xf>
    <xf numFmtId="0" fontId="7" fillId="0" borderId="15" xfId="0" applyFont="1" applyBorder="1" applyAlignment="1">
      <alignment horizontal="center" vertical="top" wrapText="1"/>
    </xf>
    <xf numFmtId="4" fontId="7" fillId="0" borderId="28" xfId="0" applyNumberFormat="1" applyFont="1" applyBorder="1" applyAlignment="1">
      <alignment horizontal="center" vertical="center"/>
    </xf>
    <xf numFmtId="0" fontId="6" fillId="0" borderId="15" xfId="0" applyFont="1" applyBorder="1" applyAlignment="1">
      <alignment horizontal="center" vertical="center"/>
    </xf>
    <xf numFmtId="43" fontId="10" fillId="0" borderId="15" xfId="2" applyFont="1" applyFill="1" applyBorder="1" applyAlignment="1">
      <alignment horizontal="center" vertical="center" wrapText="1"/>
    </xf>
    <xf numFmtId="0" fontId="7" fillId="0" borderId="47" xfId="0" applyFont="1" applyBorder="1" applyAlignment="1">
      <alignment horizontal="center" vertical="center" wrapText="1"/>
    </xf>
    <xf numFmtId="9" fontId="8" fillId="0" borderId="22" xfId="0" applyNumberFormat="1" applyFont="1" applyBorder="1" applyAlignment="1">
      <alignment horizontal="right" wrapText="1"/>
    </xf>
    <xf numFmtId="0" fontId="7" fillId="0" borderId="30" xfId="0" applyFont="1" applyBorder="1" applyAlignment="1">
      <alignment horizontal="center" vertical="center" wrapText="1"/>
    </xf>
    <xf numFmtId="4" fontId="15" fillId="0" borderId="15" xfId="0" applyNumberFormat="1" applyFont="1" applyBorder="1" applyAlignment="1">
      <alignment horizontal="center" vertical="center"/>
    </xf>
    <xf numFmtId="0" fontId="8" fillId="6" borderId="7" xfId="0" applyFont="1" applyFill="1" applyBorder="1" applyAlignment="1">
      <alignment horizontal="center"/>
    </xf>
    <xf numFmtId="0" fontId="7" fillId="2" borderId="22" xfId="0" applyFont="1" applyFill="1" applyBorder="1" applyAlignment="1">
      <alignment horizontal="center" vertical="center" wrapText="1"/>
    </xf>
    <xf numFmtId="0" fontId="8" fillId="6" borderId="15" xfId="0" applyFont="1" applyFill="1" applyBorder="1" applyAlignment="1">
      <alignment horizontal="center"/>
    </xf>
    <xf numFmtId="0" fontId="15" fillId="0" borderId="15" xfId="0" applyFont="1" applyBorder="1" applyAlignment="1">
      <alignment horizontal="justify" vertical="center"/>
    </xf>
    <xf numFmtId="0" fontId="10" fillId="0" borderId="22" xfId="0" applyFont="1" applyBorder="1" applyAlignment="1">
      <alignment horizontal="center" vertical="center" wrapText="1"/>
    </xf>
    <xf numFmtId="0" fontId="7" fillId="0" borderId="15" xfId="0" applyFont="1" applyBorder="1" applyAlignment="1">
      <alignment horizontal="justify" vertical="top" wrapText="1"/>
    </xf>
    <xf numFmtId="0" fontId="8" fillId="8" borderId="21" xfId="0" applyFont="1" applyFill="1" applyBorder="1" applyAlignment="1">
      <alignment wrapText="1"/>
    </xf>
    <xf numFmtId="0" fontId="8" fillId="8" borderId="25" xfId="0" applyFont="1" applyFill="1" applyBorder="1" applyAlignment="1">
      <alignment horizontal="center" wrapText="1"/>
    </xf>
    <xf numFmtId="4" fontId="7" fillId="3" borderId="26" xfId="0" applyNumberFormat="1" applyFont="1" applyFill="1" applyBorder="1" applyAlignment="1">
      <alignment horizontal="right" vertical="center" wrapText="1"/>
    </xf>
    <xf numFmtId="0" fontId="8" fillId="8" borderId="29" xfId="0" applyFont="1" applyFill="1" applyBorder="1" applyAlignment="1">
      <alignment wrapText="1"/>
    </xf>
    <xf numFmtId="4" fontId="7" fillId="3" borderId="15" xfId="0" applyNumberFormat="1" applyFont="1" applyFill="1" applyBorder="1" applyAlignment="1">
      <alignment horizontal="right" vertical="center" wrapText="1"/>
    </xf>
    <xf numFmtId="4" fontId="7" fillId="3" borderId="30" xfId="0" applyNumberFormat="1" applyFont="1" applyFill="1" applyBorder="1" applyAlignment="1">
      <alignment horizontal="right" vertical="center" wrapText="1"/>
    </xf>
    <xf numFmtId="0" fontId="7" fillId="0" borderId="23" xfId="0" applyFont="1" applyBorder="1" applyAlignment="1">
      <alignment horizontal="right" wrapText="1"/>
    </xf>
    <xf numFmtId="0" fontId="7" fillId="2" borderId="27" xfId="0" applyFont="1" applyFill="1" applyBorder="1" applyAlignment="1">
      <alignment horizontal="right" vertical="center" wrapText="1"/>
    </xf>
    <xf numFmtId="165" fontId="19" fillId="0" borderId="0" xfId="0" applyNumberFormat="1" applyFont="1" applyAlignment="1">
      <alignment horizontal="center"/>
    </xf>
    <xf numFmtId="0" fontId="4" fillId="6" borderId="19" xfId="0" applyFont="1" applyFill="1" applyBorder="1"/>
    <xf numFmtId="0" fontId="8" fillId="6" borderId="21" xfId="0" applyFont="1" applyFill="1" applyBorder="1" applyAlignment="1">
      <alignment horizontal="center" vertical="center" wrapText="1"/>
    </xf>
    <xf numFmtId="0" fontId="7" fillId="2" borderId="30" xfId="0" applyFont="1" applyFill="1" applyBorder="1" applyAlignment="1">
      <alignment horizontal="center" vertical="center" wrapText="1"/>
    </xf>
    <xf numFmtId="4" fontId="7" fillId="2" borderId="2" xfId="0" applyNumberFormat="1" applyFont="1" applyFill="1" applyBorder="1" applyAlignment="1">
      <alignment horizontal="center" vertical="center"/>
    </xf>
    <xf numFmtId="164" fontId="8" fillId="0" borderId="8" xfId="1" applyFont="1" applyBorder="1" applyAlignment="1">
      <alignment horizontal="right" wrapText="1"/>
    </xf>
    <xf numFmtId="164" fontId="8" fillId="2" borderId="53" xfId="1" applyFont="1" applyFill="1" applyBorder="1" applyAlignment="1">
      <alignment horizontal="right"/>
    </xf>
    <xf numFmtId="0" fontId="11" fillId="2" borderId="2" xfId="0" applyFont="1" applyFill="1" applyBorder="1" applyAlignment="1">
      <alignment horizontal="center" vertical="center" wrapText="1"/>
    </xf>
    <xf numFmtId="164" fontId="8" fillId="2" borderId="2" xfId="1" applyFont="1" applyFill="1" applyBorder="1" applyAlignment="1">
      <alignment horizontal="right" vertical="center" wrapText="1"/>
    </xf>
    <xf numFmtId="0" fontId="8" fillId="2" borderId="2" xfId="0" applyFont="1" applyFill="1" applyBorder="1" applyAlignment="1">
      <alignment horizontal="center" vertical="center" wrapText="1"/>
    </xf>
    <xf numFmtId="0" fontId="7" fillId="6" borderId="46" xfId="0" applyFont="1" applyFill="1" applyBorder="1" applyAlignment="1">
      <alignment horizontal="center" vertical="center"/>
    </xf>
    <xf numFmtId="4" fontId="7" fillId="2" borderId="17" xfId="0" applyNumberFormat="1" applyFont="1" applyFill="1" applyBorder="1" applyAlignment="1">
      <alignment horizontal="center" vertical="center"/>
    </xf>
    <xf numFmtId="0" fontId="7" fillId="2" borderId="2" xfId="0" applyFont="1" applyFill="1" applyBorder="1" applyAlignment="1">
      <alignment horizontal="center" vertical="center"/>
    </xf>
    <xf numFmtId="14" fontId="7" fillId="2" borderId="2" xfId="0" applyNumberFormat="1" applyFont="1" applyFill="1" applyBorder="1" applyAlignment="1">
      <alignment horizontal="center" vertical="center" wrapText="1"/>
    </xf>
    <xf numFmtId="4" fontId="7" fillId="2" borderId="13" xfId="0" applyNumberFormat="1" applyFont="1" applyFill="1" applyBorder="1" applyAlignment="1">
      <alignment horizontal="center" vertical="center"/>
    </xf>
    <xf numFmtId="4" fontId="7" fillId="2" borderId="16" xfId="0" applyNumberFormat="1" applyFont="1" applyFill="1" applyBorder="1" applyAlignment="1">
      <alignment horizontal="center" vertical="center"/>
    </xf>
    <xf numFmtId="0" fontId="7" fillId="2" borderId="13" xfId="0" applyFont="1" applyFill="1" applyBorder="1" applyAlignment="1">
      <alignment horizontal="center" vertical="center"/>
    </xf>
    <xf numFmtId="164" fontId="7" fillId="2" borderId="54" xfId="1" applyFont="1" applyFill="1" applyBorder="1" applyAlignment="1">
      <alignment horizontal="center" vertical="center"/>
    </xf>
    <xf numFmtId="0" fontId="6" fillId="0" borderId="15" xfId="0" applyFont="1" applyBorder="1" applyAlignment="1">
      <alignment horizontal="center" vertical="center" wrapText="1"/>
    </xf>
    <xf numFmtId="0" fontId="7" fillId="6" borderId="15" xfId="0" applyFont="1" applyFill="1" applyBorder="1" applyAlignment="1">
      <alignment horizontal="center" vertical="center"/>
    </xf>
    <xf numFmtId="4" fontId="10" fillId="2" borderId="15" xfId="0" applyNumberFormat="1" applyFont="1" applyFill="1" applyBorder="1" applyAlignment="1">
      <alignment horizontal="center" vertical="center" wrapText="1"/>
    </xf>
    <xf numFmtId="0" fontId="10" fillId="6" borderId="15" xfId="0" applyFont="1" applyFill="1" applyBorder="1" applyAlignment="1">
      <alignment horizontal="center" vertical="center" wrapText="1"/>
    </xf>
    <xf numFmtId="4" fontId="10" fillId="0" borderId="15" xfId="0" applyNumberFormat="1" applyFont="1" applyBorder="1" applyAlignment="1">
      <alignment horizontal="center" vertical="center" wrapText="1"/>
    </xf>
    <xf numFmtId="0" fontId="8" fillId="6" borderId="15" xfId="0" applyFont="1" applyFill="1" applyBorder="1" applyAlignment="1">
      <alignment horizontal="center" vertical="center" wrapText="1"/>
    </xf>
    <xf numFmtId="0" fontId="7" fillId="6" borderId="15" xfId="0" applyFont="1" applyFill="1" applyBorder="1" applyAlignment="1">
      <alignment horizontal="center" vertical="center" wrapText="1"/>
    </xf>
    <xf numFmtId="14" fontId="7" fillId="2" borderId="14" xfId="0" applyNumberFormat="1" applyFont="1" applyFill="1" applyBorder="1" applyAlignment="1">
      <alignment horizontal="center" vertical="center" wrapText="1"/>
    </xf>
    <xf numFmtId="4" fontId="6" fillId="0" borderId="15" xfId="0" applyNumberFormat="1" applyFont="1" applyBorder="1" applyAlignment="1">
      <alignment horizontal="center" vertical="center"/>
    </xf>
    <xf numFmtId="44" fontId="0" fillId="0" borderId="0" xfId="3" applyFont="1"/>
    <xf numFmtId="164" fontId="8" fillId="2" borderId="0" xfId="1" applyFont="1" applyFill="1" applyBorder="1" applyAlignment="1">
      <alignment horizontal="center" vertical="center"/>
    </xf>
    <xf numFmtId="0" fontId="7" fillId="2" borderId="10" xfId="0" applyFont="1" applyFill="1" applyBorder="1" applyAlignment="1">
      <alignment horizontal="center"/>
    </xf>
    <xf numFmtId="0" fontId="7" fillId="2" borderId="9" xfId="0" applyFont="1" applyFill="1" applyBorder="1" applyAlignment="1">
      <alignment horizontal="center"/>
    </xf>
    <xf numFmtId="4" fontId="7" fillId="2" borderId="9" xfId="0" applyNumberFormat="1" applyFont="1" applyFill="1" applyBorder="1" applyAlignment="1">
      <alignment horizontal="center" vertical="center"/>
    </xf>
    <xf numFmtId="164" fontId="7" fillId="2" borderId="9" xfId="1" applyFont="1" applyFill="1" applyBorder="1" applyAlignment="1">
      <alignment horizontal="center" vertical="center"/>
    </xf>
    <xf numFmtId="164" fontId="7" fillId="2" borderId="0" xfId="1" applyFont="1" applyFill="1" applyBorder="1" applyAlignment="1">
      <alignment vertical="center"/>
    </xf>
    <xf numFmtId="164" fontId="7" fillId="2" borderId="10" xfId="1" applyFont="1" applyFill="1" applyBorder="1" applyAlignment="1">
      <alignment horizontal="center" vertical="center"/>
    </xf>
    <xf numFmtId="0" fontId="7" fillId="2" borderId="15" xfId="0" applyFont="1" applyFill="1" applyBorder="1" applyAlignment="1">
      <alignment horizontal="center"/>
    </xf>
    <xf numFmtId="164" fontId="7" fillId="2" borderId="15" xfId="1" applyFont="1" applyFill="1" applyBorder="1" applyAlignment="1">
      <alignment horizontal="center" vertical="center"/>
    </xf>
    <xf numFmtId="166" fontId="8" fillId="2" borderId="22" xfId="1" applyNumberFormat="1" applyFont="1" applyFill="1" applyBorder="1" applyAlignment="1">
      <alignment horizontal="center" vertical="center"/>
    </xf>
    <xf numFmtId="164" fontId="8" fillId="2" borderId="22" xfId="1" applyFont="1" applyFill="1" applyBorder="1" applyAlignment="1">
      <alignment horizontal="center" vertical="center"/>
    </xf>
    <xf numFmtId="164" fontId="8" fillId="2" borderId="24" xfId="1" applyFont="1" applyFill="1" applyBorder="1" applyAlignment="1">
      <alignment horizontal="center" vertical="center" wrapText="1"/>
    </xf>
    <xf numFmtId="0" fontId="10" fillId="6" borderId="15" xfId="0" applyFont="1" applyFill="1" applyBorder="1" applyAlignment="1">
      <alignment horizontal="center" vertical="center"/>
    </xf>
    <xf numFmtId="0" fontId="10" fillId="2" borderId="15" xfId="0" applyFont="1" applyFill="1" applyBorder="1" applyAlignment="1">
      <alignment horizontal="center" vertical="center"/>
    </xf>
    <xf numFmtId="4" fontId="10" fillId="3" borderId="15"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0" fontId="13" fillId="2" borderId="42" xfId="0" applyFont="1" applyFill="1" applyBorder="1" applyAlignment="1">
      <alignment vertical="center" wrapText="1"/>
    </xf>
    <xf numFmtId="0" fontId="7" fillId="2" borderId="48" xfId="0" applyFont="1" applyFill="1" applyBorder="1" applyAlignment="1">
      <alignment horizontal="center" vertical="center" wrapText="1"/>
    </xf>
    <xf numFmtId="0" fontId="10" fillId="3" borderId="9" xfId="0" applyFont="1" applyFill="1" applyBorder="1" applyAlignment="1">
      <alignment horizontal="center" vertical="center"/>
    </xf>
    <xf numFmtId="164" fontId="7" fillId="0" borderId="22" xfId="1" applyFont="1" applyBorder="1" applyAlignment="1">
      <alignment horizontal="right" wrapText="1"/>
    </xf>
    <xf numFmtId="164" fontId="7" fillId="2" borderId="27" xfId="1" applyFont="1" applyFill="1" applyBorder="1" applyAlignment="1">
      <alignment horizontal="right" vertical="center" wrapText="1"/>
    </xf>
    <xf numFmtId="164" fontId="8" fillId="0" borderId="24" xfId="1" applyFont="1" applyBorder="1" applyAlignment="1">
      <alignment horizontal="right" wrapText="1"/>
    </xf>
    <xf numFmtId="164" fontId="7" fillId="2" borderId="30" xfId="1" applyFont="1" applyFill="1" applyBorder="1" applyAlignment="1">
      <alignment horizontal="right" vertical="center" wrapText="1"/>
    </xf>
    <xf numFmtId="164" fontId="10" fillId="2" borderId="15" xfId="1" applyFont="1" applyFill="1" applyBorder="1" applyAlignment="1">
      <alignment horizontal="center" vertical="center" wrapText="1"/>
    </xf>
    <xf numFmtId="164" fontId="10" fillId="3" borderId="15" xfId="1" applyFont="1" applyFill="1" applyBorder="1" applyAlignment="1">
      <alignment horizontal="center" vertical="center"/>
    </xf>
    <xf numFmtId="164" fontId="10" fillId="3" borderId="9" xfId="1" applyFont="1" applyFill="1" applyBorder="1" applyAlignment="1">
      <alignment horizontal="center" vertical="center"/>
    </xf>
    <xf numFmtId="164" fontId="10" fillId="2" borderId="54" xfId="1" applyFont="1" applyFill="1" applyBorder="1" applyAlignment="1">
      <alignment horizontal="center" vertical="center" wrapText="1"/>
    </xf>
    <xf numFmtId="164" fontId="11" fillId="2" borderId="2" xfId="1" applyFont="1" applyFill="1" applyBorder="1" applyAlignment="1">
      <alignment horizontal="center" vertical="center" wrapText="1"/>
    </xf>
    <xf numFmtId="164" fontId="8" fillId="2" borderId="17" xfId="1" applyFont="1" applyFill="1" applyBorder="1" applyAlignment="1">
      <alignment horizontal="right" vertical="center" wrapText="1"/>
    </xf>
    <xf numFmtId="164" fontId="7" fillId="2" borderId="14" xfId="1" applyFont="1" applyFill="1" applyBorder="1" applyAlignment="1">
      <alignment wrapText="1"/>
    </xf>
    <xf numFmtId="43" fontId="10" fillId="0" borderId="0" xfId="2" applyFont="1" applyFill="1" applyBorder="1" applyAlignment="1">
      <alignment horizontal="center" vertical="center" wrapText="1"/>
    </xf>
    <xf numFmtId="43" fontId="7" fillId="0" borderId="22" xfId="2" applyFont="1" applyFill="1" applyBorder="1" applyAlignment="1">
      <alignment horizontal="center" vertical="center" wrapText="1"/>
    </xf>
    <xf numFmtId="43" fontId="7" fillId="0" borderId="0" xfId="2" applyFont="1" applyFill="1" applyBorder="1" applyAlignment="1">
      <alignment horizontal="center" vertical="center" wrapText="1"/>
    </xf>
    <xf numFmtId="4" fontId="0" fillId="0" borderId="0" xfId="0" applyNumberFormat="1" applyAlignment="1">
      <alignment vertical="center"/>
    </xf>
    <xf numFmtId="4" fontId="7" fillId="0" borderId="0" xfId="0" applyNumberFormat="1" applyFont="1" applyAlignment="1">
      <alignment horizontal="center" vertical="center"/>
    </xf>
    <xf numFmtId="43" fontId="10" fillId="0" borderId="22" xfId="2" applyFont="1" applyFill="1" applyBorder="1" applyAlignment="1">
      <alignment horizontal="center" vertical="center" wrapText="1"/>
    </xf>
    <xf numFmtId="0" fontId="7" fillId="0" borderId="26" xfId="0" applyFont="1" applyBorder="1" applyAlignment="1">
      <alignment horizontal="right" vertical="center" wrapText="1"/>
    </xf>
    <xf numFmtId="167" fontId="7" fillId="0" borderId="26" xfId="0" applyNumberFormat="1" applyFont="1" applyBorder="1" applyAlignment="1">
      <alignment horizontal="right" vertical="center" wrapText="1"/>
    </xf>
    <xf numFmtId="3" fontId="7" fillId="0" borderId="27" xfId="0" applyNumberFormat="1" applyFont="1" applyBorder="1" applyAlignment="1">
      <alignment horizontal="right" vertical="center" wrapText="1"/>
    </xf>
    <xf numFmtId="43" fontId="7" fillId="0" borderId="26" xfId="1" applyNumberFormat="1" applyFont="1" applyFill="1" applyBorder="1" applyAlignment="1">
      <alignment horizontal="right" vertical="center" wrapText="1"/>
    </xf>
    <xf numFmtId="4" fontId="7" fillId="0" borderId="27" xfId="0" applyNumberFormat="1" applyFont="1" applyBorder="1" applyAlignment="1">
      <alignment horizontal="right" vertical="center" wrapText="1"/>
    </xf>
    <xf numFmtId="43" fontId="7" fillId="0" borderId="15" xfId="1" applyNumberFormat="1" applyFont="1" applyFill="1" applyBorder="1" applyAlignment="1">
      <alignment horizontal="right" vertical="center" wrapText="1"/>
    </xf>
    <xf numFmtId="4" fontId="7" fillId="0" borderId="15" xfId="0" applyNumberFormat="1" applyFont="1" applyBorder="1" applyAlignment="1">
      <alignment horizontal="right" vertical="center" wrapText="1"/>
    </xf>
    <xf numFmtId="4" fontId="7" fillId="0" borderId="30" xfId="0" applyNumberFormat="1" applyFont="1" applyBorder="1" applyAlignment="1">
      <alignment horizontal="right" vertical="center" wrapText="1"/>
    </xf>
    <xf numFmtId="0" fontId="10" fillId="0" borderId="30" xfId="0" applyFont="1" applyBorder="1" applyAlignment="1">
      <alignment horizontal="center" vertical="center" wrapText="1"/>
    </xf>
    <xf numFmtId="0" fontId="7" fillId="0" borderId="26" xfId="0" applyFont="1" applyBorder="1" applyAlignment="1">
      <alignment horizontal="center" vertical="center"/>
    </xf>
    <xf numFmtId="4" fontId="7" fillId="0" borderId="26" xfId="0" applyNumberFormat="1" applyFont="1" applyBorder="1" applyAlignment="1">
      <alignment horizontal="center" vertical="center"/>
    </xf>
    <xf numFmtId="3" fontId="7" fillId="0" borderId="26" xfId="0" applyNumberFormat="1" applyFont="1" applyBorder="1" applyAlignment="1">
      <alignment horizontal="center" vertical="center"/>
    </xf>
    <xf numFmtId="2" fontId="10" fillId="0" borderId="26" xfId="0" applyNumberFormat="1" applyFont="1" applyBorder="1" applyAlignment="1">
      <alignment horizontal="center" vertical="center" wrapText="1"/>
    </xf>
    <xf numFmtId="4" fontId="10" fillId="0" borderId="26" xfId="0" applyNumberFormat="1" applyFont="1" applyBorder="1" applyAlignment="1">
      <alignment horizontal="center" vertical="center"/>
    </xf>
    <xf numFmtId="3" fontId="7" fillId="0" borderId="15" xfId="0" applyNumberFormat="1" applyFont="1" applyBorder="1" applyAlignment="1">
      <alignment horizontal="center" vertical="center"/>
    </xf>
    <xf numFmtId="0" fontId="10" fillId="0" borderId="22" xfId="0" applyFont="1" applyBorder="1" applyAlignment="1">
      <alignment horizontal="center" vertical="center"/>
    </xf>
    <xf numFmtId="4" fontId="10" fillId="0" borderId="22" xfId="0" applyNumberFormat="1" applyFont="1" applyBorder="1" applyAlignment="1">
      <alignment horizontal="center" vertical="center"/>
    </xf>
    <xf numFmtId="3" fontId="10" fillId="0" borderId="22" xfId="0" applyNumberFormat="1" applyFont="1" applyBorder="1" applyAlignment="1">
      <alignment horizontal="center" vertical="center" wrapText="1"/>
    </xf>
    <xf numFmtId="4" fontId="10" fillId="0" borderId="24" xfId="0" applyNumberFormat="1" applyFont="1" applyBorder="1" applyAlignment="1">
      <alignment horizontal="center" vertical="center"/>
    </xf>
    <xf numFmtId="0" fontId="9" fillId="0" borderId="15" xfId="0" applyFont="1" applyBorder="1" applyAlignment="1">
      <alignment horizontal="left" vertical="center" wrapText="1"/>
    </xf>
    <xf numFmtId="0" fontId="7" fillId="0" borderId="15" xfId="0" applyFont="1" applyBorder="1" applyAlignment="1">
      <alignment horizontal="left" vertical="center" wrapText="1"/>
    </xf>
    <xf numFmtId="14" fontId="10" fillId="0" borderId="15" xfId="0" applyNumberFormat="1" applyFont="1" applyBorder="1" applyAlignment="1">
      <alignment horizontal="center" vertical="center" wrapText="1"/>
    </xf>
    <xf numFmtId="0" fontId="9" fillId="0" borderId="15" xfId="0" applyFont="1" applyBorder="1" applyAlignment="1">
      <alignment horizontal="center" vertical="center" wrapText="1"/>
    </xf>
    <xf numFmtId="4" fontId="7" fillId="0" borderId="15"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7" fillId="0" borderId="22" xfId="0" applyFont="1" applyBorder="1" applyAlignment="1">
      <alignment horizontal="justify" vertical="justify" wrapText="1"/>
    </xf>
    <xf numFmtId="14" fontId="7" fillId="0" borderId="42" xfId="0" applyNumberFormat="1" applyFont="1" applyBorder="1" applyAlignment="1">
      <alignment horizontal="center" vertical="center" wrapText="1"/>
    </xf>
    <xf numFmtId="0" fontId="7" fillId="0" borderId="15" xfId="0" applyFont="1" applyBorder="1" applyAlignment="1">
      <alignment horizontal="left" wrapText="1"/>
    </xf>
    <xf numFmtId="0" fontId="25" fillId="0" borderId="15" xfId="0" applyFont="1" applyBorder="1" applyAlignment="1">
      <alignment vertical="center" wrapText="1"/>
    </xf>
    <xf numFmtId="0" fontId="6" fillId="0" borderId="22" xfId="0" applyFont="1" applyBorder="1" applyAlignment="1">
      <alignment horizontal="center" vertical="center" wrapText="1"/>
    </xf>
    <xf numFmtId="0" fontId="6" fillId="2" borderId="15" xfId="0" applyFont="1" applyFill="1" applyBorder="1" applyAlignment="1">
      <alignment horizontal="center" vertical="center" wrapText="1"/>
    </xf>
    <xf numFmtId="14" fontId="6" fillId="2" borderId="15" xfId="0" applyNumberFormat="1" applyFont="1" applyFill="1" applyBorder="1" applyAlignment="1">
      <alignment horizontal="center" vertical="center" wrapText="1"/>
    </xf>
    <xf numFmtId="4" fontId="6" fillId="2" borderId="15" xfId="0" applyNumberFormat="1" applyFont="1" applyFill="1" applyBorder="1" applyAlignment="1">
      <alignment horizontal="center" vertical="center"/>
    </xf>
    <xf numFmtId="4" fontId="6" fillId="2" borderId="28" xfId="0" applyNumberFormat="1" applyFont="1" applyFill="1" applyBorder="1" applyAlignment="1">
      <alignment horizontal="center" vertical="center"/>
    </xf>
    <xf numFmtId="0" fontId="7" fillId="0" borderId="22" xfId="0" applyFont="1" applyBorder="1" applyAlignment="1">
      <alignment horizontal="left" vertical="center" wrapText="1"/>
    </xf>
    <xf numFmtId="0" fontId="7" fillId="6" borderId="21" xfId="0" applyFont="1" applyFill="1" applyBorder="1" applyAlignment="1">
      <alignment horizontal="center" vertical="center"/>
    </xf>
    <xf numFmtId="0" fontId="8" fillId="6" borderId="2" xfId="0" applyFont="1" applyFill="1" applyBorder="1" applyAlignment="1">
      <alignment horizontal="left" vertical="center" wrapText="1"/>
    </xf>
    <xf numFmtId="0" fontId="8" fillId="6" borderId="13" xfId="0" applyFont="1" applyFill="1" applyBorder="1" applyAlignment="1">
      <alignment horizontal="center" vertical="center" wrapText="1"/>
    </xf>
    <xf numFmtId="0" fontId="27" fillId="0" borderId="0" xfId="0" applyFont="1"/>
    <xf numFmtId="164" fontId="8" fillId="2" borderId="2" xfId="1" applyFont="1" applyFill="1" applyBorder="1" applyAlignment="1">
      <alignment horizontal="center"/>
    </xf>
    <xf numFmtId="164" fontId="15" fillId="0" borderId="0" xfId="1" applyFont="1"/>
    <xf numFmtId="164" fontId="17" fillId="0" borderId="0" xfId="1" applyFont="1" applyBorder="1" applyAlignment="1">
      <alignment wrapText="1"/>
    </xf>
    <xf numFmtId="0" fontId="17" fillId="0" borderId="0" xfId="0" applyFont="1" applyAlignment="1">
      <alignment wrapText="1"/>
    </xf>
    <xf numFmtId="0" fontId="17" fillId="0" borderId="0" xfId="0" applyFont="1" applyAlignment="1">
      <alignment horizontal="center" vertical="center" wrapText="1"/>
    </xf>
    <xf numFmtId="0" fontId="17" fillId="0" borderId="0" xfId="0" applyFont="1" applyAlignment="1">
      <alignment horizontal="center" vertical="top" wrapText="1"/>
    </xf>
    <xf numFmtId="165" fontId="7" fillId="0" borderId="0" xfId="0" applyNumberFormat="1" applyFont="1"/>
    <xf numFmtId="164" fontId="6" fillId="0" borderId="0" xfId="1" applyFont="1"/>
    <xf numFmtId="0" fontId="15" fillId="0" borderId="0" xfId="0" applyFont="1" applyAlignment="1">
      <alignment horizontal="center" vertical="center" wrapText="1"/>
    </xf>
    <xf numFmtId="164" fontId="15" fillId="0" borderId="0" xfId="0" applyNumberFormat="1" applyFont="1"/>
    <xf numFmtId="164" fontId="17" fillId="0" borderId="0" xfId="1" applyFont="1" applyBorder="1" applyAlignment="1">
      <alignment horizontal="center"/>
    </xf>
    <xf numFmtId="0" fontId="8" fillId="0" borderId="0" xfId="0" applyFont="1" applyAlignment="1">
      <alignment horizontal="center"/>
    </xf>
    <xf numFmtId="0" fontId="8" fillId="0" borderId="0" xfId="0" applyFont="1" applyAlignment="1">
      <alignment horizontal="center" wrapText="1"/>
    </xf>
    <xf numFmtId="164" fontId="8" fillId="0" borderId="0" xfId="1" applyFont="1" applyBorder="1" applyAlignment="1">
      <alignment horizontal="center"/>
    </xf>
    <xf numFmtId="0" fontId="8" fillId="6" borderId="5"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3" xfId="0" applyFont="1" applyFill="1" applyBorder="1" applyAlignment="1">
      <alignment vertical="center" wrapText="1"/>
    </xf>
    <xf numFmtId="0" fontId="7" fillId="6" borderId="9" xfId="0" applyFont="1" applyFill="1" applyBorder="1" applyAlignment="1">
      <alignment horizontal="center" vertical="center" wrapText="1"/>
    </xf>
    <xf numFmtId="0" fontId="8" fillId="6" borderId="19" xfId="0" applyFont="1" applyFill="1" applyBorder="1" applyAlignment="1">
      <alignment horizontal="left" wrapText="1"/>
    </xf>
    <xf numFmtId="0" fontId="8" fillId="6" borderId="19" xfId="0" applyFont="1" applyFill="1" applyBorder="1" applyAlignment="1">
      <alignment wrapText="1"/>
    </xf>
    <xf numFmtId="4" fontId="8" fillId="6" borderId="20" xfId="0" applyNumberFormat="1" applyFont="1" applyFill="1" applyBorder="1" applyAlignment="1">
      <alignment horizontal="left" wrapText="1"/>
    </xf>
    <xf numFmtId="4" fontId="8" fillId="6" borderId="20" xfId="0" applyNumberFormat="1" applyFont="1" applyFill="1" applyBorder="1" applyAlignment="1">
      <alignment horizontal="left"/>
    </xf>
    <xf numFmtId="0" fontId="8" fillId="6" borderId="3" xfId="0" applyFont="1" applyFill="1" applyBorder="1" applyAlignment="1">
      <alignment horizontal="center" vertical="top" wrapText="1"/>
    </xf>
    <xf numFmtId="0" fontId="8" fillId="6" borderId="5" xfId="0" applyFont="1" applyFill="1" applyBorder="1" applyAlignment="1">
      <alignment horizontal="center" vertical="top" wrapText="1"/>
    </xf>
    <xf numFmtId="164" fontId="6" fillId="0" borderId="0" xfId="1" applyFont="1" applyAlignment="1">
      <alignment vertical="top"/>
    </xf>
    <xf numFmtId="164" fontId="15" fillId="0" borderId="0" xfId="1" applyFont="1" applyAlignment="1">
      <alignment horizontal="left" vertical="top"/>
    </xf>
    <xf numFmtId="165" fontId="15" fillId="0" borderId="0" xfId="0" applyNumberFormat="1" applyFont="1" applyAlignment="1">
      <alignment horizontal="left" vertical="top"/>
    </xf>
    <xf numFmtId="0" fontId="15" fillId="0" borderId="0" xfId="0" applyFont="1" applyAlignment="1">
      <alignment horizontal="left" vertical="top"/>
    </xf>
    <xf numFmtId="0" fontId="0" fillId="0" borderId="0" xfId="0" applyAlignment="1">
      <alignment horizontal="left" vertical="top"/>
    </xf>
    <xf numFmtId="0" fontId="8" fillId="0" borderId="15" xfId="0" applyFont="1" applyBorder="1" applyAlignment="1">
      <alignment horizontal="left" vertical="center" wrapText="1"/>
    </xf>
    <xf numFmtId="0" fontId="7" fillId="2" borderId="15" xfId="0" applyFont="1" applyFill="1" applyBorder="1" applyAlignment="1">
      <alignment horizontal="left" vertical="center" wrapText="1"/>
    </xf>
    <xf numFmtId="0" fontId="7" fillId="2" borderId="22" xfId="0" applyFont="1" applyFill="1" applyBorder="1" applyAlignment="1">
      <alignment horizontal="left" vertical="center" wrapText="1"/>
    </xf>
    <xf numFmtId="16" fontId="7" fillId="0" borderId="22" xfId="0" applyNumberFormat="1" applyFont="1" applyBorder="1" applyAlignment="1">
      <alignment horizontal="left" vertical="center" wrapText="1"/>
    </xf>
    <xf numFmtId="0" fontId="7" fillId="0" borderId="22" xfId="0" applyFont="1" applyBorder="1" applyAlignment="1">
      <alignment horizontal="left" vertical="center"/>
    </xf>
    <xf numFmtId="4" fontId="7" fillId="2" borderId="22" xfId="0" applyNumberFormat="1" applyFont="1" applyFill="1" applyBorder="1" applyAlignment="1">
      <alignment horizontal="left" vertical="center"/>
    </xf>
    <xf numFmtId="3" fontId="7" fillId="0" borderId="22" xfId="0" applyNumberFormat="1" applyFont="1" applyBorder="1" applyAlignment="1">
      <alignment horizontal="left" vertical="center" wrapText="1"/>
    </xf>
    <xf numFmtId="4" fontId="7" fillId="3" borderId="22" xfId="0" applyNumberFormat="1" applyFont="1" applyFill="1" applyBorder="1" applyAlignment="1">
      <alignment horizontal="left" vertical="center"/>
    </xf>
    <xf numFmtId="16" fontId="7" fillId="0" borderId="15" xfId="0" applyNumberFormat="1" applyFont="1" applyBorder="1" applyAlignment="1">
      <alignment horizontal="left" vertical="center" wrapText="1"/>
    </xf>
    <xf numFmtId="0" fontId="7" fillId="0" borderId="15" xfId="0" applyFont="1" applyBorder="1" applyAlignment="1">
      <alignment horizontal="left" vertical="center"/>
    </xf>
    <xf numFmtId="4" fontId="7" fillId="0" borderId="15" xfId="0" applyNumberFormat="1" applyFont="1" applyBorder="1" applyAlignment="1">
      <alignment horizontal="left" vertical="center"/>
    </xf>
    <xf numFmtId="3" fontId="7" fillId="0" borderId="15" xfId="0" applyNumberFormat="1" applyFont="1" applyBorder="1" applyAlignment="1">
      <alignment horizontal="left" vertical="center" wrapText="1"/>
    </xf>
    <xf numFmtId="4" fontId="7" fillId="2" borderId="15" xfId="0" applyNumberFormat="1" applyFont="1" applyFill="1" applyBorder="1" applyAlignment="1">
      <alignment horizontal="left" vertical="center"/>
    </xf>
    <xf numFmtId="4" fontId="7" fillId="3" borderId="15" xfId="0" applyNumberFormat="1" applyFont="1" applyFill="1" applyBorder="1" applyAlignment="1">
      <alignment horizontal="left" vertical="center"/>
    </xf>
    <xf numFmtId="0" fontId="7" fillId="6" borderId="15" xfId="0" applyFont="1" applyFill="1" applyBorder="1" applyAlignment="1">
      <alignment horizontal="left" vertical="top"/>
    </xf>
    <xf numFmtId="0" fontId="8" fillId="6" borderId="10" xfId="0" applyFont="1" applyFill="1" applyBorder="1" applyAlignment="1">
      <alignment horizontal="center" vertical="center" wrapText="1"/>
    </xf>
    <xf numFmtId="164" fontId="8" fillId="0" borderId="0" xfId="1" applyFont="1" applyFill="1" applyBorder="1" applyAlignment="1">
      <alignment horizontal="center"/>
    </xf>
    <xf numFmtId="164" fontId="8" fillId="0" borderId="2" xfId="1" applyFont="1" applyFill="1" applyBorder="1" applyAlignment="1">
      <alignment horizontal="center"/>
    </xf>
    <xf numFmtId="164" fontId="8" fillId="0" borderId="2" xfId="1" applyFont="1" applyFill="1" applyBorder="1" applyAlignment="1">
      <alignment horizontal="right" wrapText="1"/>
    </xf>
    <xf numFmtId="4" fontId="12" fillId="0" borderId="0" xfId="0" applyNumberFormat="1" applyFont="1" applyAlignment="1">
      <alignment horizontal="right" vertical="center" wrapText="1"/>
    </xf>
    <xf numFmtId="0" fontId="12" fillId="0" borderId="1" xfId="0" applyFont="1" applyBorder="1" applyAlignment="1">
      <alignment horizontal="left" vertical="center" wrapText="1"/>
    </xf>
    <xf numFmtId="164" fontId="8" fillId="0" borderId="15" xfId="1" applyFont="1" applyFill="1" applyBorder="1" applyAlignment="1">
      <alignment horizontal="center" vertical="center" wrapText="1"/>
    </xf>
    <xf numFmtId="164" fontId="8" fillId="0" borderId="15" xfId="1" applyFont="1" applyFill="1" applyBorder="1" applyAlignment="1">
      <alignment horizontal="right" vertical="center" wrapText="1"/>
    </xf>
    <xf numFmtId="164" fontId="8" fillId="0" borderId="14" xfId="1" applyFont="1" applyFill="1" applyBorder="1" applyAlignment="1">
      <alignment horizontal="right" wrapText="1"/>
    </xf>
    <xf numFmtId="0" fontId="8" fillId="0" borderId="1" xfId="0" applyFont="1" applyBorder="1" applyAlignment="1">
      <alignment horizontal="left" vertical="center" wrapText="1"/>
    </xf>
    <xf numFmtId="164" fontId="8" fillId="0" borderId="22" xfId="1" applyFont="1" applyFill="1" applyBorder="1" applyAlignment="1">
      <alignment horizontal="center" vertical="center"/>
    </xf>
    <xf numFmtId="4" fontId="8" fillId="0" borderId="0" xfId="0" applyNumberFormat="1" applyFont="1" applyAlignment="1">
      <alignment horizontal="right" vertical="center" wrapText="1"/>
    </xf>
    <xf numFmtId="4" fontId="8" fillId="0" borderId="38" xfId="0" applyNumberFormat="1" applyFont="1" applyBorder="1" applyAlignment="1">
      <alignment horizontal="right" wrapText="1"/>
    </xf>
    <xf numFmtId="4" fontId="8" fillId="0" borderId="40" xfId="0" applyNumberFormat="1" applyFont="1" applyBorder="1" applyAlignment="1">
      <alignment horizontal="right" wrapText="1"/>
    </xf>
    <xf numFmtId="0" fontId="27" fillId="0" borderId="15" xfId="0" applyFont="1" applyBorder="1" applyAlignment="1">
      <alignment horizontal="center" vertical="center"/>
    </xf>
    <xf numFmtId="0" fontId="12" fillId="0" borderId="0" xfId="0" applyFont="1" applyAlignment="1">
      <alignment horizontal="center" vertical="center" wrapText="1"/>
    </xf>
    <xf numFmtId="0" fontId="8" fillId="0" borderId="15" xfId="0" applyFont="1" applyBorder="1" applyAlignment="1">
      <alignment horizontal="center" vertical="center" wrapText="1"/>
    </xf>
    <xf numFmtId="166" fontId="8" fillId="0" borderId="22" xfId="1" applyNumberFormat="1" applyFont="1" applyFill="1" applyBorder="1" applyAlignment="1">
      <alignment horizontal="center" vertical="center"/>
    </xf>
    <xf numFmtId="4" fontId="7" fillId="0" borderId="15" xfId="0" quotePrefix="1" applyNumberFormat="1" applyFont="1" applyBorder="1" applyAlignment="1">
      <alignment horizontal="center" vertical="center"/>
    </xf>
    <xf numFmtId="14" fontId="15" fillId="0" borderId="15" xfId="0" applyNumberFormat="1" applyFont="1" applyBorder="1" applyAlignment="1">
      <alignment horizontal="center" vertical="center"/>
    </xf>
    <xf numFmtId="0" fontId="8" fillId="6" borderId="5" xfId="0" applyFont="1" applyFill="1" applyBorder="1" applyAlignment="1">
      <alignment vertical="top" wrapText="1"/>
    </xf>
    <xf numFmtId="0" fontId="8" fillId="6" borderId="9" xfId="0" applyFont="1" applyFill="1" applyBorder="1" applyAlignment="1">
      <alignment vertical="top" wrapText="1"/>
    </xf>
    <xf numFmtId="0" fontId="8" fillId="6" borderId="5" xfId="0" applyFont="1" applyFill="1" applyBorder="1" applyAlignment="1">
      <alignment vertical="top"/>
    </xf>
    <xf numFmtId="0" fontId="8" fillId="6" borderId="9" xfId="0" applyFont="1" applyFill="1" applyBorder="1" applyAlignment="1">
      <alignment vertical="top"/>
    </xf>
    <xf numFmtId="0" fontId="6" fillId="6" borderId="22"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0" borderId="35" xfId="0" applyFont="1" applyBorder="1" applyAlignment="1">
      <alignment horizontal="justify" vertical="top" wrapText="1"/>
    </xf>
    <xf numFmtId="0" fontId="6" fillId="2" borderId="35" xfId="0" applyFont="1" applyFill="1" applyBorder="1" applyAlignment="1">
      <alignment horizontal="center" vertical="center" wrapText="1"/>
    </xf>
    <xf numFmtId="0" fontId="6" fillId="0" borderId="35" xfId="0" applyFont="1" applyBorder="1" applyAlignment="1">
      <alignment horizontal="center" vertical="center"/>
    </xf>
    <xf numFmtId="0" fontId="12" fillId="0" borderId="15" xfId="0" applyFont="1" applyBorder="1" applyAlignment="1">
      <alignment vertical="top"/>
    </xf>
    <xf numFmtId="0" fontId="12" fillId="0" borderId="15" xfId="0" applyFont="1" applyBorder="1" applyAlignment="1">
      <alignment vertical="top" wrapText="1"/>
    </xf>
    <xf numFmtId="4" fontId="6" fillId="0" borderId="35" xfId="0" applyNumberFormat="1" applyFont="1" applyBorder="1" applyAlignment="1">
      <alignment horizontal="center" vertical="center"/>
    </xf>
    <xf numFmtId="4" fontId="6" fillId="2" borderId="36" xfId="0" applyNumberFormat="1" applyFont="1" applyFill="1" applyBorder="1" applyAlignment="1">
      <alignment horizontal="center" vertical="center" wrapText="1"/>
    </xf>
    <xf numFmtId="165" fontId="6" fillId="0" borderId="0" xfId="0" applyNumberFormat="1" applyFont="1"/>
    <xf numFmtId="0" fontId="6" fillId="0" borderId="15" xfId="0" applyFont="1" applyBorder="1" applyAlignment="1">
      <alignment horizontal="justify" vertical="top" wrapText="1"/>
    </xf>
    <xf numFmtId="4" fontId="6" fillId="0" borderId="15" xfId="0" applyNumberFormat="1" applyFont="1" applyBorder="1" applyAlignment="1">
      <alignment horizontal="center" vertical="center" wrapText="1"/>
    </xf>
    <xf numFmtId="0" fontId="6" fillId="0" borderId="22" xfId="0" applyFont="1" applyBorder="1" applyAlignment="1">
      <alignment horizontal="justify" vertical="top" wrapText="1"/>
    </xf>
    <xf numFmtId="14" fontId="6" fillId="0" borderId="22" xfId="0" applyNumberFormat="1" applyFont="1" applyBorder="1" applyAlignment="1">
      <alignment horizontal="center" vertical="center" wrapText="1"/>
    </xf>
    <xf numFmtId="0" fontId="6" fillId="0" borderId="22" xfId="0" applyFont="1" applyBorder="1" applyAlignment="1">
      <alignment horizontal="center" vertical="center"/>
    </xf>
    <xf numFmtId="4" fontId="6" fillId="0" borderId="22" xfId="0" applyNumberFormat="1" applyFont="1" applyBorder="1" applyAlignment="1">
      <alignment horizontal="center" vertical="center"/>
    </xf>
    <xf numFmtId="4" fontId="6" fillId="2" borderId="42" xfId="0" applyNumberFormat="1" applyFont="1" applyFill="1" applyBorder="1" applyAlignment="1">
      <alignment horizontal="center" vertical="center"/>
    </xf>
    <xf numFmtId="4" fontId="6" fillId="0" borderId="24" xfId="0" applyNumberFormat="1" applyFont="1" applyBorder="1" applyAlignment="1">
      <alignment horizontal="center" vertical="center" wrapText="1"/>
    </xf>
    <xf numFmtId="0" fontId="6" fillId="2" borderId="15" xfId="0" applyFont="1" applyFill="1" applyBorder="1" applyAlignment="1">
      <alignment horizontal="justify" vertical="top" wrapText="1"/>
    </xf>
    <xf numFmtId="4" fontId="6" fillId="2" borderId="35" xfId="0" applyNumberFormat="1" applyFont="1" applyFill="1" applyBorder="1" applyAlignment="1">
      <alignment horizontal="center" vertical="center"/>
    </xf>
    <xf numFmtId="4" fontId="6" fillId="0" borderId="28" xfId="0" applyNumberFormat="1" applyFont="1" applyBorder="1" applyAlignment="1">
      <alignment horizontal="center" vertical="center" wrapText="1"/>
    </xf>
    <xf numFmtId="0" fontId="6" fillId="2" borderId="15" xfId="0" applyFont="1" applyFill="1" applyBorder="1" applyAlignment="1">
      <alignment horizontal="justify" vertical="top"/>
    </xf>
    <xf numFmtId="0" fontId="6" fillId="2" borderId="52" xfId="0" applyFont="1" applyFill="1" applyBorder="1" applyAlignment="1">
      <alignment horizontal="center" vertical="center" wrapText="1"/>
    </xf>
    <xf numFmtId="0" fontId="12" fillId="6" borderId="15" xfId="0" applyFont="1" applyFill="1" applyBorder="1" applyAlignment="1">
      <alignment horizontal="center"/>
    </xf>
    <xf numFmtId="0" fontId="6" fillId="0" borderId="15" xfId="0" applyFont="1" applyBorder="1" applyAlignment="1">
      <alignment horizontal="justify" vertical="center"/>
    </xf>
    <xf numFmtId="0" fontId="12" fillId="6" borderId="7" xfId="0" applyFont="1" applyFill="1" applyBorder="1" applyAlignment="1">
      <alignment horizontal="center"/>
    </xf>
    <xf numFmtId="0" fontId="6" fillId="2" borderId="22" xfId="0" applyFont="1" applyFill="1" applyBorder="1" applyAlignment="1">
      <alignment horizontal="center" vertical="center" wrapText="1"/>
    </xf>
    <xf numFmtId="14" fontId="6" fillId="2" borderId="22" xfId="0" applyNumberFormat="1" applyFont="1" applyFill="1" applyBorder="1" applyAlignment="1">
      <alignment horizontal="center" vertical="center" wrapText="1"/>
    </xf>
    <xf numFmtId="0" fontId="12" fillId="6" borderId="13" xfId="0" applyFont="1" applyFill="1" applyBorder="1" applyAlignment="1">
      <alignment horizontal="center"/>
    </xf>
    <xf numFmtId="0" fontId="6" fillId="2" borderId="15" xfId="0" applyFont="1" applyFill="1" applyBorder="1" applyAlignment="1">
      <alignment horizontal="left" vertical="center" wrapText="1"/>
    </xf>
    <xf numFmtId="4" fontId="6" fillId="2" borderId="38" xfId="0" applyNumberFormat="1" applyFont="1" applyFill="1" applyBorder="1" applyAlignment="1">
      <alignment horizontal="center" vertical="center"/>
    </xf>
    <xf numFmtId="0" fontId="7" fillId="0" borderId="15" xfId="0" applyFont="1" applyBorder="1" applyAlignment="1">
      <alignment horizontal="right" wrapText="1"/>
    </xf>
    <xf numFmtId="9" fontId="7" fillId="0" borderId="15" xfId="0" applyNumberFormat="1" applyFont="1" applyBorder="1" applyAlignment="1">
      <alignment horizontal="right" wrapText="1"/>
    </xf>
    <xf numFmtId="14" fontId="15" fillId="0" borderId="15" xfId="0" applyNumberFormat="1" applyFont="1" applyBorder="1" applyAlignment="1">
      <alignment horizontal="center" vertical="center" wrapText="1"/>
    </xf>
    <xf numFmtId="0" fontId="13" fillId="2" borderId="15" xfId="0" applyFont="1" applyFill="1" applyBorder="1" applyAlignment="1">
      <alignment vertical="top" wrapText="1"/>
    </xf>
    <xf numFmtId="0" fontId="7" fillId="7" borderId="15" xfId="0" applyFont="1" applyFill="1" applyBorder="1" applyAlignment="1">
      <alignment horizontal="justify" vertical="top" wrapText="1"/>
    </xf>
    <xf numFmtId="0" fontId="10" fillId="7" borderId="15" xfId="0" applyFont="1" applyFill="1" applyBorder="1" applyAlignment="1">
      <alignment horizontal="left" vertical="center" wrapText="1"/>
    </xf>
    <xf numFmtId="0" fontId="7" fillId="0" borderId="22" xfId="0" applyFont="1" applyBorder="1" applyAlignment="1">
      <alignment horizontal="justify" vertical="top" wrapText="1"/>
    </xf>
    <xf numFmtId="166" fontId="7" fillId="2" borderId="15" xfId="1" applyNumberFormat="1" applyFont="1" applyFill="1" applyBorder="1" applyAlignment="1">
      <alignment vertical="center"/>
    </xf>
    <xf numFmtId="166" fontId="7" fillId="2" borderId="15" xfId="1" applyNumberFormat="1" applyFont="1" applyFill="1" applyBorder="1" applyAlignment="1">
      <alignment horizontal="center" vertical="center"/>
    </xf>
    <xf numFmtId="0" fontId="8" fillId="6" borderId="55" xfId="0" applyFont="1" applyFill="1" applyBorder="1" applyAlignment="1">
      <alignment horizontal="center" vertical="center" wrapText="1"/>
    </xf>
    <xf numFmtId="0" fontId="8" fillId="2" borderId="4" xfId="0" applyFont="1" applyFill="1" applyBorder="1" applyAlignment="1">
      <alignment horizontal="center" vertical="center" wrapText="1"/>
    </xf>
    <xf numFmtId="164" fontId="8" fillId="2" borderId="5" xfId="1" applyFont="1" applyFill="1" applyBorder="1" applyAlignment="1">
      <alignment horizontal="center" vertical="center" wrapText="1"/>
    </xf>
    <xf numFmtId="164" fontId="8" fillId="2" borderId="4" xfId="1" applyFont="1" applyFill="1" applyBorder="1" applyAlignment="1">
      <alignment horizontal="center" vertical="center" wrapText="1"/>
    </xf>
    <xf numFmtId="164" fontId="8" fillId="2" borderId="59" xfId="1" applyFont="1" applyFill="1" applyBorder="1" applyAlignment="1">
      <alignment horizontal="center" vertical="center" wrapText="1"/>
    </xf>
    <xf numFmtId="0" fontId="15" fillId="0" borderId="15" xfId="0" applyFont="1" applyBorder="1" applyAlignment="1">
      <alignment horizontal="justify" vertical="top"/>
    </xf>
    <xf numFmtId="0" fontId="7" fillId="2" borderId="15" xfId="0" applyFont="1" applyFill="1" applyBorder="1" applyAlignment="1">
      <alignment horizontal="left" vertical="justify" wrapText="1"/>
    </xf>
    <xf numFmtId="0" fontId="22" fillId="0" borderId="15" xfId="0" applyFont="1" applyBorder="1" applyAlignment="1">
      <alignment horizontal="left" vertical="top" wrapText="1"/>
    </xf>
    <xf numFmtId="14" fontId="22" fillId="2" borderId="22" xfId="0" applyNumberFormat="1" applyFont="1" applyFill="1" applyBorder="1" applyAlignment="1">
      <alignment horizontal="center" vertical="center" wrapText="1"/>
    </xf>
    <xf numFmtId="14" fontId="22" fillId="2" borderId="15" xfId="0" applyNumberFormat="1" applyFont="1" applyFill="1" applyBorder="1" applyAlignment="1">
      <alignment horizontal="center" vertical="center" wrapText="1"/>
    </xf>
    <xf numFmtId="0" fontId="28" fillId="0" borderId="15" xfId="0" applyFont="1" applyBorder="1" applyAlignment="1">
      <alignment wrapText="1"/>
    </xf>
    <xf numFmtId="0" fontId="4" fillId="0" borderId="0" xfId="0" applyFont="1" applyAlignment="1">
      <alignment horizontal="center"/>
    </xf>
    <xf numFmtId="0" fontId="30" fillId="0" borderId="0" xfId="0" applyFont="1"/>
    <xf numFmtId="164" fontId="4" fillId="0" borderId="0" xfId="1" applyFont="1" applyBorder="1" applyAlignment="1">
      <alignment horizontal="center"/>
    </xf>
    <xf numFmtId="44" fontId="30" fillId="0" borderId="0" xfId="3" applyFont="1"/>
    <xf numFmtId="0" fontId="31" fillId="5" borderId="0" xfId="0" applyFont="1" applyFill="1" applyAlignment="1">
      <alignment horizontal="center" wrapText="1"/>
    </xf>
    <xf numFmtId="0" fontId="28" fillId="0" borderId="0" xfId="0" applyFont="1"/>
    <xf numFmtId="0" fontId="22" fillId="0" borderId="0" xfId="0" applyFont="1" applyAlignment="1">
      <alignment vertical="center" wrapText="1"/>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3" xfId="0" applyFont="1" applyFill="1" applyBorder="1" applyAlignment="1">
      <alignment vertical="center" wrapText="1"/>
    </xf>
    <xf numFmtId="0" fontId="22" fillId="6" borderId="9"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22" fillId="6" borderId="22" xfId="0" applyFont="1" applyFill="1" applyBorder="1" applyAlignment="1">
      <alignment horizontal="center" vertical="center"/>
    </xf>
    <xf numFmtId="0" fontId="22" fillId="0" borderId="22" xfId="0" applyFont="1" applyBorder="1" applyAlignment="1">
      <alignment horizontal="center" vertical="top" wrapText="1"/>
    </xf>
    <xf numFmtId="0" fontId="30" fillId="0" borderId="22" xfId="0" applyFont="1" applyBorder="1" applyAlignment="1">
      <alignment horizontal="justify" vertical="top"/>
    </xf>
    <xf numFmtId="0" fontId="22" fillId="0" borderId="22" xfId="0" applyFont="1" applyBorder="1" applyAlignment="1">
      <alignment horizontal="center" vertical="center" wrapText="1"/>
    </xf>
    <xf numFmtId="0" fontId="22" fillId="2" borderId="22" xfId="0" applyFont="1" applyFill="1" applyBorder="1" applyAlignment="1">
      <alignment horizontal="center" vertical="center" wrapText="1"/>
    </xf>
    <xf numFmtId="0" fontId="22" fillId="0" borderId="22" xfId="0" applyFont="1" applyBorder="1" applyAlignment="1">
      <alignment horizontal="center" vertical="center"/>
    </xf>
    <xf numFmtId="4" fontId="22" fillId="0" borderId="22" xfId="0" applyNumberFormat="1" applyFont="1" applyBorder="1" applyAlignment="1">
      <alignment horizontal="center" vertical="center"/>
    </xf>
    <xf numFmtId="4" fontId="22" fillId="2" borderId="22" xfId="0" applyNumberFormat="1" applyFont="1" applyFill="1" applyBorder="1" applyAlignment="1">
      <alignment horizontal="center" vertical="center"/>
    </xf>
    <xf numFmtId="4" fontId="30" fillId="0" borderId="0" xfId="0" applyNumberFormat="1" applyFont="1"/>
    <xf numFmtId="0" fontId="22" fillId="6" borderId="15" xfId="0" applyFont="1" applyFill="1" applyBorder="1" applyAlignment="1">
      <alignment horizontal="center" vertical="center"/>
    </xf>
    <xf numFmtId="0" fontId="22" fillId="0" borderId="15" xfId="0" applyFont="1" applyBorder="1" applyAlignment="1">
      <alignment horizontal="center" vertical="top" wrapText="1"/>
    </xf>
    <xf numFmtId="0" fontId="22" fillId="0" borderId="15" xfId="0" applyFont="1" applyBorder="1" applyAlignment="1">
      <alignment horizontal="center" vertical="center" wrapText="1"/>
    </xf>
    <xf numFmtId="0" fontId="22" fillId="2" borderId="15" xfId="0" applyFont="1" applyFill="1" applyBorder="1" applyAlignment="1">
      <alignment horizontal="center" vertical="center" wrapText="1"/>
    </xf>
    <xf numFmtId="0" fontId="22" fillId="0" borderId="15" xfId="0" applyFont="1" applyBorder="1" applyAlignment="1">
      <alignment horizontal="center" vertical="center"/>
    </xf>
    <xf numFmtId="4" fontId="22" fillId="0" borderId="15" xfId="0" applyNumberFormat="1" applyFont="1" applyBorder="1" applyAlignment="1">
      <alignment horizontal="center" vertical="center"/>
    </xf>
    <xf numFmtId="4" fontId="22" fillId="2" borderId="15" xfId="0" applyNumberFormat="1" applyFont="1" applyFill="1" applyBorder="1" applyAlignment="1">
      <alignment horizontal="center" vertical="center"/>
    </xf>
    <xf numFmtId="0" fontId="22" fillId="0" borderId="22" xfId="0" applyFont="1" applyBorder="1" applyAlignment="1">
      <alignment horizontal="justify" vertical="top"/>
    </xf>
    <xf numFmtId="0" fontId="30" fillId="0" borderId="15" xfId="0" applyFont="1" applyBorder="1" applyAlignment="1">
      <alignment horizontal="justify" vertical="top"/>
    </xf>
    <xf numFmtId="4" fontId="22" fillId="0" borderId="15" xfId="0" quotePrefix="1" applyNumberFormat="1" applyFont="1" applyBorder="1" applyAlignment="1">
      <alignment horizontal="center" vertical="center"/>
    </xf>
    <xf numFmtId="0" fontId="4" fillId="6" borderId="2" xfId="0" applyFont="1" applyFill="1" applyBorder="1" applyAlignment="1">
      <alignment horizontal="center"/>
    </xf>
    <xf numFmtId="164" fontId="4" fillId="2" borderId="2" xfId="1" applyFont="1" applyFill="1" applyBorder="1" applyAlignment="1">
      <alignment horizontal="center"/>
    </xf>
    <xf numFmtId="165" fontId="30" fillId="0" borderId="0" xfId="0" applyNumberFormat="1" applyFont="1"/>
    <xf numFmtId="0" fontId="31" fillId="0" borderId="2" xfId="0" applyFont="1" applyBorder="1" applyAlignment="1">
      <alignment vertical="center" wrapText="1"/>
    </xf>
    <xf numFmtId="164" fontId="31" fillId="0" borderId="2" xfId="1" applyFont="1" applyBorder="1" applyAlignment="1">
      <alignment horizontal="right" vertical="center" wrapText="1"/>
    </xf>
    <xf numFmtId="164" fontId="4" fillId="0" borderId="2" xfId="1" applyFont="1" applyBorder="1" applyAlignment="1">
      <alignment horizontal="right" wrapText="1"/>
    </xf>
    <xf numFmtId="0" fontId="22" fillId="0" borderId="2" xfId="0" applyFont="1" applyBorder="1" applyAlignment="1">
      <alignment wrapText="1"/>
    </xf>
    <xf numFmtId="164" fontId="22" fillId="0" borderId="2" xfId="1" applyFont="1" applyBorder="1" applyAlignment="1">
      <alignment horizontal="right" wrapText="1"/>
    </xf>
    <xf numFmtId="0" fontId="29" fillId="2" borderId="0" xfId="0" applyFont="1" applyFill="1" applyAlignment="1">
      <alignment horizontal="center" vertical="center" wrapText="1"/>
    </xf>
    <xf numFmtId="0" fontId="28" fillId="2" borderId="0" xfId="0" applyFont="1" applyFill="1" applyAlignment="1">
      <alignment wrapText="1"/>
    </xf>
    <xf numFmtId="4" fontId="29" fillId="2" borderId="0" xfId="0" applyNumberFormat="1" applyFont="1" applyFill="1" applyAlignment="1">
      <alignment horizontal="right" vertical="center" wrapText="1"/>
    </xf>
    <xf numFmtId="43" fontId="29" fillId="2" borderId="0" xfId="0" applyNumberFormat="1" applyFont="1" applyFill="1" applyAlignment="1">
      <alignment horizontal="right"/>
    </xf>
    <xf numFmtId="0" fontId="29" fillId="2" borderId="16" xfId="0" applyFont="1" applyFill="1" applyBorder="1" applyAlignment="1">
      <alignment horizontal="left" vertical="center" wrapText="1"/>
    </xf>
    <xf numFmtId="0" fontId="29" fillId="2" borderId="17" xfId="0" applyFont="1" applyFill="1" applyBorder="1" applyAlignment="1">
      <alignment horizontal="left" vertical="center" wrapText="1"/>
    </xf>
    <xf numFmtId="0" fontId="22" fillId="6" borderId="22" xfId="0" applyFont="1" applyFill="1" applyBorder="1" applyAlignment="1">
      <alignment horizontal="center" vertical="center" wrapText="1"/>
    </xf>
    <xf numFmtId="0" fontId="22" fillId="0" borderId="22" xfId="0" applyFont="1" applyBorder="1" applyAlignment="1">
      <alignment horizontal="justify" vertical="top" wrapText="1"/>
    </xf>
    <xf numFmtId="14" fontId="22" fillId="0" borderId="22" xfId="0" applyNumberFormat="1" applyFont="1" applyBorder="1" applyAlignment="1">
      <alignment horizontal="center" vertical="center" wrapText="1"/>
    </xf>
    <xf numFmtId="0" fontId="22" fillId="0" borderId="42" xfId="0" applyFont="1" applyBorder="1" applyAlignment="1">
      <alignment horizontal="center" vertical="center" wrapText="1"/>
    </xf>
    <xf numFmtId="43" fontId="22" fillId="0" borderId="22" xfId="2" applyFont="1" applyFill="1" applyBorder="1" applyAlignment="1">
      <alignment horizontal="center" vertical="center" wrapText="1"/>
    </xf>
    <xf numFmtId="4" fontId="22" fillId="0" borderId="22" xfId="0" applyNumberFormat="1" applyFont="1" applyBorder="1" applyAlignment="1">
      <alignment horizontal="center" vertical="center" wrapText="1"/>
    </xf>
    <xf numFmtId="0" fontId="22" fillId="6" borderId="15" xfId="0" applyFont="1" applyFill="1" applyBorder="1" applyAlignment="1">
      <alignment horizontal="center" vertical="center" wrapText="1"/>
    </xf>
    <xf numFmtId="0" fontId="22" fillId="0" borderId="15" xfId="0" applyFont="1" applyBorder="1" applyAlignment="1">
      <alignment horizontal="justify" vertical="top" wrapText="1"/>
    </xf>
    <xf numFmtId="14" fontId="22" fillId="0" borderId="30" xfId="0" applyNumberFormat="1" applyFont="1" applyBorder="1" applyAlignment="1">
      <alignment horizontal="center" vertical="center" wrapText="1"/>
    </xf>
    <xf numFmtId="0" fontId="22" fillId="0" borderId="47" xfId="0" applyFont="1" applyBorder="1" applyAlignment="1">
      <alignment horizontal="center" vertical="center"/>
    </xf>
    <xf numFmtId="4" fontId="22" fillId="0" borderId="15" xfId="0" applyNumberFormat="1" applyFont="1" applyBorder="1" applyAlignment="1">
      <alignment horizontal="center" vertical="center" wrapText="1"/>
    </xf>
    <xf numFmtId="14" fontId="22" fillId="0" borderId="15" xfId="0" applyNumberFormat="1" applyFont="1" applyBorder="1" applyAlignment="1">
      <alignment horizontal="center" vertical="center" wrapText="1"/>
    </xf>
    <xf numFmtId="164" fontId="30" fillId="0" borderId="0" xfId="1" applyFont="1" applyFill="1"/>
    <xf numFmtId="0" fontId="4" fillId="6" borderId="15" xfId="0" applyFont="1" applyFill="1" applyBorder="1" applyAlignment="1">
      <alignment horizontal="center" vertical="center" wrapText="1"/>
    </xf>
    <xf numFmtId="0" fontId="28" fillId="0" borderId="15" xfId="0" applyFont="1" applyBorder="1" applyAlignment="1">
      <alignment horizontal="justify" vertical="top" wrapText="1"/>
    </xf>
    <xf numFmtId="43" fontId="22" fillId="2" borderId="15" xfId="2" applyFont="1" applyFill="1" applyBorder="1" applyAlignment="1">
      <alignment horizontal="center" vertical="center" wrapText="1"/>
    </xf>
    <xf numFmtId="0" fontId="22" fillId="3" borderId="15" xfId="0" applyFont="1" applyFill="1" applyBorder="1" applyAlignment="1">
      <alignment horizontal="center" vertical="center"/>
    </xf>
    <xf numFmtId="0" fontId="22" fillId="2" borderId="15" xfId="0" applyFont="1" applyFill="1" applyBorder="1" applyAlignment="1">
      <alignment horizontal="center" vertical="center"/>
    </xf>
    <xf numFmtId="4" fontId="22" fillId="2" borderId="15" xfId="0" applyNumberFormat="1"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15" xfId="1" applyFont="1" applyFill="1" applyBorder="1" applyAlignment="1">
      <alignment horizontal="center" vertical="center" wrapText="1"/>
    </xf>
    <xf numFmtId="164" fontId="4" fillId="2" borderId="28" xfId="1" applyFont="1" applyFill="1" applyBorder="1" applyAlignment="1">
      <alignment horizontal="center" vertical="center" wrapText="1"/>
    </xf>
    <xf numFmtId="0" fontId="31" fillId="2" borderId="15" xfId="0" applyFont="1" applyFill="1" applyBorder="1" applyAlignment="1">
      <alignment horizontal="center" vertical="center" wrapText="1"/>
    </xf>
    <xf numFmtId="4" fontId="4" fillId="2" borderId="15" xfId="0" applyNumberFormat="1" applyFont="1" applyFill="1" applyBorder="1" applyAlignment="1">
      <alignment horizontal="right" vertical="center" wrapText="1"/>
    </xf>
    <xf numFmtId="164" fontId="4" fillId="2" borderId="15" xfId="1" applyFont="1" applyFill="1" applyBorder="1" applyAlignment="1">
      <alignment horizontal="right" vertical="center" wrapText="1"/>
    </xf>
    <xf numFmtId="164" fontId="4" fillId="2" borderId="28" xfId="1" applyFont="1" applyFill="1" applyBorder="1" applyAlignment="1">
      <alignment horizontal="right"/>
    </xf>
    <xf numFmtId="0" fontId="22" fillId="2" borderId="14" xfId="0" applyFont="1" applyFill="1" applyBorder="1" applyAlignment="1">
      <alignment wrapText="1"/>
    </xf>
    <xf numFmtId="4" fontId="4" fillId="2" borderId="14" xfId="0" applyNumberFormat="1" applyFont="1" applyFill="1" applyBorder="1" applyAlignment="1">
      <alignment horizontal="right" vertical="center" wrapText="1"/>
    </xf>
    <xf numFmtId="164" fontId="4" fillId="2" borderId="14" xfId="1" applyFont="1" applyFill="1" applyBorder="1" applyAlignment="1">
      <alignment horizontal="right" vertical="center" wrapText="1"/>
    </xf>
    <xf numFmtId="164" fontId="4" fillId="0" borderId="14" xfId="1" applyFont="1" applyBorder="1" applyAlignment="1">
      <alignment horizontal="right"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22" fillId="6" borderId="21" xfId="0" applyFont="1" applyFill="1" applyBorder="1" applyAlignment="1">
      <alignment horizontal="center" vertical="center"/>
    </xf>
    <xf numFmtId="16" fontId="22" fillId="0" borderId="22" xfId="0"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2" xfId="0" applyFont="1" applyBorder="1" applyAlignment="1">
      <alignment horizontal="center" vertical="center"/>
    </xf>
    <xf numFmtId="4" fontId="22" fillId="0" borderId="42" xfId="0" applyNumberFormat="1" applyFont="1" applyBorder="1" applyAlignment="1">
      <alignment horizontal="center" vertical="center"/>
    </xf>
    <xf numFmtId="3" fontId="22" fillId="0" borderId="42" xfId="0" applyNumberFormat="1" applyFont="1" applyBorder="1" applyAlignment="1">
      <alignment horizontal="center" vertical="center"/>
    </xf>
    <xf numFmtId="3" fontId="22" fillId="0" borderId="15" xfId="0" applyNumberFormat="1" applyFont="1" applyBorder="1" applyAlignment="1">
      <alignment horizontal="center" vertical="center"/>
    </xf>
    <xf numFmtId="2" fontId="22" fillId="0" borderId="15" xfId="0" applyNumberFormat="1" applyFont="1" applyBorder="1" applyAlignment="1">
      <alignment horizontal="center" vertical="center" wrapText="1"/>
    </xf>
    <xf numFmtId="3" fontId="22" fillId="0" borderId="48" xfId="0" applyNumberFormat="1" applyFont="1" applyBorder="1" applyAlignment="1">
      <alignment horizontal="center" vertical="center" wrapText="1"/>
    </xf>
    <xf numFmtId="3" fontId="22" fillId="0" borderId="0" xfId="0" applyNumberFormat="1" applyFont="1" applyAlignment="1">
      <alignment horizontal="center" vertical="center" wrapText="1"/>
    </xf>
    <xf numFmtId="0" fontId="22" fillId="6" borderId="29" xfId="0" applyFont="1" applyFill="1" applyBorder="1" applyAlignment="1">
      <alignment horizontal="center" vertical="center"/>
    </xf>
    <xf numFmtId="16" fontId="22" fillId="0" borderId="15"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22" fillId="6" borderId="25" xfId="0" applyFont="1" applyFill="1" applyBorder="1" applyAlignment="1">
      <alignment horizontal="center" vertical="center"/>
    </xf>
    <xf numFmtId="0" fontId="22" fillId="0" borderId="26" xfId="0" applyFont="1" applyBorder="1" applyAlignment="1">
      <alignment horizontal="center" vertical="center" wrapText="1"/>
    </xf>
    <xf numFmtId="0" fontId="22" fillId="0" borderId="26" xfId="0" applyFont="1" applyBorder="1" applyAlignment="1">
      <alignment horizontal="left" vertical="center" wrapText="1"/>
    </xf>
    <xf numFmtId="16" fontId="22" fillId="0" borderId="26" xfId="0" applyNumberFormat="1" applyFont="1" applyBorder="1" applyAlignment="1">
      <alignment horizontal="center" vertical="center" wrapText="1"/>
    </xf>
    <xf numFmtId="0" fontId="22" fillId="0" borderId="26" xfId="0" applyFont="1" applyBorder="1" applyAlignment="1">
      <alignment horizontal="center" vertical="center"/>
    </xf>
    <xf numFmtId="4" fontId="22" fillId="0" borderId="26" xfId="0" applyNumberFormat="1" applyFont="1" applyBorder="1" applyAlignment="1">
      <alignment horizontal="center" vertical="center"/>
    </xf>
    <xf numFmtId="3" fontId="22" fillId="0" borderId="26" xfId="0" applyNumberFormat="1" applyFont="1" applyBorder="1" applyAlignment="1">
      <alignment horizontal="center" vertical="center" wrapText="1"/>
    </xf>
    <xf numFmtId="4" fontId="22" fillId="0" borderId="60" xfId="0" applyNumberFormat="1" applyFont="1" applyBorder="1" applyAlignment="1">
      <alignment horizontal="center" vertical="center"/>
    </xf>
    <xf numFmtId="0" fontId="4" fillId="6" borderId="57" xfId="0" applyFont="1" applyFill="1" applyBorder="1" applyAlignment="1">
      <alignment horizontal="center" vertical="center" wrapText="1"/>
    </xf>
    <xf numFmtId="166" fontId="4" fillId="0" borderId="5" xfId="1" applyNumberFormat="1" applyFont="1" applyFill="1" applyBorder="1" applyAlignment="1">
      <alignment horizontal="center" vertical="center"/>
    </xf>
    <xf numFmtId="164" fontId="4" fillId="2" borderId="18" xfId="1" applyFont="1" applyFill="1" applyBorder="1" applyAlignment="1">
      <alignment horizontal="center" vertical="center"/>
    </xf>
    <xf numFmtId="164" fontId="4" fillId="2" borderId="19" xfId="1" applyFont="1" applyFill="1" applyBorder="1" applyAlignment="1">
      <alignment horizontal="center" vertical="center"/>
    </xf>
    <xf numFmtId="164" fontId="4" fillId="0" borderId="19" xfId="1" applyFont="1" applyFill="1" applyBorder="1" applyAlignment="1">
      <alignment horizontal="center" vertical="center"/>
    </xf>
    <xf numFmtId="164" fontId="4" fillId="2" borderId="40" xfId="1" applyFont="1" applyFill="1" applyBorder="1" applyAlignment="1">
      <alignment horizontal="center" vertical="center" wrapText="1"/>
    </xf>
    <xf numFmtId="164" fontId="30" fillId="0" borderId="0" xfId="1" applyFont="1"/>
    <xf numFmtId="0" fontId="34" fillId="2" borderId="18" xfId="0" applyFont="1" applyFill="1" applyBorder="1" applyAlignment="1">
      <alignment horizontal="center" vertical="center" wrapText="1"/>
    </xf>
    <xf numFmtId="0" fontId="34" fillId="2" borderId="19" xfId="0" applyFont="1" applyFill="1" applyBorder="1" applyAlignment="1">
      <alignment horizontal="center" vertical="center" wrapText="1"/>
    </xf>
    <xf numFmtId="4" fontId="29" fillId="2" borderId="19" xfId="0" applyNumberFormat="1" applyFont="1" applyFill="1" applyBorder="1" applyAlignment="1">
      <alignment horizontal="right" vertical="center" wrapText="1"/>
    </xf>
    <xf numFmtId="164" fontId="29" fillId="2" borderId="19" xfId="1" applyFont="1" applyFill="1" applyBorder="1" applyAlignment="1">
      <alignment horizontal="right" vertical="center" wrapText="1"/>
    </xf>
    <xf numFmtId="164" fontId="4" fillId="2" borderId="19" xfId="1" applyFont="1" applyFill="1" applyBorder="1" applyAlignment="1">
      <alignment horizontal="right" vertical="center" wrapText="1"/>
    </xf>
    <xf numFmtId="164" fontId="4" fillId="0" borderId="19" xfId="1" applyFont="1" applyFill="1" applyBorder="1" applyAlignment="1">
      <alignment horizontal="right" vertical="center" wrapText="1"/>
    </xf>
    <xf numFmtId="164" fontId="4" fillId="2" borderId="40" xfId="1" applyFont="1" applyFill="1" applyBorder="1" applyAlignment="1">
      <alignment horizontal="right"/>
    </xf>
    <xf numFmtId="0" fontId="28" fillId="2" borderId="14" xfId="0" applyFont="1" applyFill="1" applyBorder="1" applyAlignment="1">
      <alignment wrapText="1"/>
    </xf>
    <xf numFmtId="4" fontId="29" fillId="2" borderId="14" xfId="0" applyNumberFormat="1" applyFont="1" applyFill="1" applyBorder="1" applyAlignment="1">
      <alignment horizontal="right" vertical="center" wrapText="1"/>
    </xf>
    <xf numFmtId="164" fontId="29" fillId="2" borderId="14" xfId="1" applyFont="1" applyFill="1" applyBorder="1" applyAlignment="1">
      <alignment horizontal="right" vertical="center" wrapText="1"/>
    </xf>
    <xf numFmtId="164" fontId="4" fillId="0" borderId="14" xfId="1" applyFont="1" applyFill="1" applyBorder="1" applyAlignment="1">
      <alignment horizontal="right" wrapText="1"/>
    </xf>
    <xf numFmtId="0" fontId="4" fillId="2" borderId="0" xfId="0" applyFont="1" applyFill="1" applyAlignment="1">
      <alignment horizontal="center" vertical="center" wrapText="1"/>
    </xf>
    <xf numFmtId="164" fontId="29" fillId="2" borderId="0" xfId="1" applyFont="1" applyFill="1" applyBorder="1" applyAlignment="1">
      <alignment horizontal="right" vertical="center" wrapText="1"/>
    </xf>
    <xf numFmtId="164" fontId="4" fillId="2" borderId="0" xfId="1" applyFont="1" applyFill="1" applyBorder="1" applyAlignment="1">
      <alignment horizontal="right" vertical="center" wrapText="1"/>
    </xf>
    <xf numFmtId="164" fontId="4" fillId="0" borderId="0" xfId="1" applyFont="1" applyBorder="1" applyAlignment="1">
      <alignment horizontal="right" wrapText="1"/>
    </xf>
    <xf numFmtId="4" fontId="4" fillId="2" borderId="0" xfId="0" applyNumberFormat="1" applyFont="1" applyFill="1" applyAlignment="1">
      <alignment horizontal="right" vertical="center" wrapText="1"/>
    </xf>
    <xf numFmtId="0" fontId="22" fillId="2" borderId="0" xfId="0" applyFont="1" applyFill="1" applyAlignment="1">
      <alignment wrapText="1"/>
    </xf>
    <xf numFmtId="43" fontId="4" fillId="2" borderId="0" xfId="0" applyNumberFormat="1" applyFont="1" applyFill="1" applyAlignment="1">
      <alignment horizontal="right"/>
    </xf>
    <xf numFmtId="0" fontId="4" fillId="6" borderId="7" xfId="0" applyFont="1" applyFill="1" applyBorder="1" applyAlignment="1">
      <alignment horizontal="center"/>
    </xf>
    <xf numFmtId="0" fontId="22" fillId="2" borderId="22" xfId="0" applyFont="1" applyFill="1" applyBorder="1" applyAlignment="1">
      <alignment horizontal="center" vertical="center"/>
    </xf>
    <xf numFmtId="4" fontId="22" fillId="2" borderId="24" xfId="0" applyNumberFormat="1" applyFont="1" applyFill="1" applyBorder="1" applyAlignment="1">
      <alignment horizontal="center" vertical="center"/>
    </xf>
    <xf numFmtId="0" fontId="4" fillId="6" borderId="13" xfId="0" applyFont="1" applyFill="1" applyBorder="1" applyAlignment="1">
      <alignment horizontal="center"/>
    </xf>
    <xf numFmtId="4" fontId="22" fillId="0" borderId="28" xfId="0" applyNumberFormat="1" applyFont="1" applyBorder="1" applyAlignment="1">
      <alignment horizontal="center" vertical="center"/>
    </xf>
    <xf numFmtId="4" fontId="22" fillId="2" borderId="28" xfId="0" applyNumberFormat="1" applyFont="1" applyFill="1" applyBorder="1" applyAlignment="1">
      <alignment horizontal="center" vertical="center"/>
    </xf>
    <xf numFmtId="0" fontId="22" fillId="2" borderId="26" xfId="0" applyFont="1" applyFill="1" applyBorder="1" applyAlignment="1">
      <alignment horizontal="center" vertical="center" wrapText="1"/>
    </xf>
    <xf numFmtId="14" fontId="22" fillId="2" borderId="26" xfId="0" applyNumberFormat="1" applyFont="1" applyFill="1" applyBorder="1" applyAlignment="1">
      <alignment horizontal="center" vertical="center" wrapText="1"/>
    </xf>
    <xf numFmtId="0" fontId="22" fillId="2" borderId="26" xfId="0" applyFont="1" applyFill="1" applyBorder="1" applyAlignment="1">
      <alignment horizontal="center" vertical="center"/>
    </xf>
    <xf numFmtId="4" fontId="22" fillId="2" borderId="26" xfId="0" applyNumberFormat="1" applyFont="1" applyFill="1" applyBorder="1" applyAlignment="1">
      <alignment horizontal="center" vertical="center"/>
    </xf>
    <xf numFmtId="4" fontId="22" fillId="2" borderId="38" xfId="0" applyNumberFormat="1" applyFont="1" applyFill="1" applyBorder="1" applyAlignment="1">
      <alignment horizontal="center" vertical="center"/>
    </xf>
    <xf numFmtId="4" fontId="4" fillId="0" borderId="2" xfId="0" applyNumberFormat="1" applyFont="1" applyBorder="1" applyAlignment="1">
      <alignment horizontal="center"/>
    </xf>
    <xf numFmtId="0" fontId="34" fillId="0" borderId="2" xfId="0" applyFont="1" applyBorder="1" applyAlignment="1">
      <alignment vertical="center" wrapText="1"/>
    </xf>
    <xf numFmtId="0" fontId="34" fillId="0" borderId="2" xfId="0" applyFont="1" applyBorder="1" applyAlignment="1">
      <alignment horizontal="right" vertical="center" wrapText="1"/>
    </xf>
    <xf numFmtId="4" fontId="4" fillId="0" borderId="2" xfId="0" applyNumberFormat="1" applyFont="1" applyBorder="1" applyAlignment="1">
      <alignment horizontal="right" wrapText="1"/>
    </xf>
    <xf numFmtId="0" fontId="28" fillId="0" borderId="2" xfId="0" applyFont="1" applyBorder="1" applyAlignment="1">
      <alignment wrapText="1"/>
    </xf>
    <xf numFmtId="0" fontId="28" fillId="0" borderId="2" xfId="0" applyFont="1" applyBorder="1" applyAlignment="1">
      <alignment horizontal="right" wrapText="1"/>
    </xf>
    <xf numFmtId="0" fontId="4" fillId="0" borderId="0" xfId="0" applyFont="1" applyAlignment="1">
      <alignment horizontal="center" vertical="center" wrapText="1"/>
    </xf>
    <xf numFmtId="0" fontId="28" fillId="0" borderId="0" xfId="0" applyFont="1" applyAlignment="1">
      <alignment wrapText="1"/>
    </xf>
    <xf numFmtId="0" fontId="28" fillId="0" borderId="0" xfId="0" applyFont="1" applyAlignment="1">
      <alignment horizontal="right" wrapText="1"/>
    </xf>
    <xf numFmtId="4" fontId="4" fillId="0" borderId="0" xfId="0" applyNumberFormat="1" applyFont="1" applyAlignment="1">
      <alignment horizontal="right" wrapText="1"/>
    </xf>
    <xf numFmtId="0" fontId="32" fillId="0" borderId="0" xfId="0" applyFont="1" applyAlignment="1">
      <alignment horizontal="center"/>
    </xf>
    <xf numFmtId="0" fontId="4" fillId="0" borderId="0" xfId="0" applyFont="1" applyAlignment="1">
      <alignment vertical="center" wrapText="1"/>
    </xf>
    <xf numFmtId="0" fontId="35" fillId="0" borderId="0" xfId="0" applyFont="1" applyAlignment="1">
      <alignment wrapText="1"/>
    </xf>
    <xf numFmtId="0" fontId="32" fillId="0" borderId="0" xfId="0" applyFont="1"/>
    <xf numFmtId="0" fontId="4" fillId="6" borderId="18" xfId="0" applyFont="1" applyFill="1" applyBorder="1" applyAlignment="1">
      <alignment wrapText="1"/>
    </xf>
    <xf numFmtId="4" fontId="4" fillId="6" borderId="2" xfId="0" applyNumberFormat="1" applyFont="1" applyFill="1" applyBorder="1" applyAlignment="1">
      <alignment horizontal="left" wrapText="1"/>
    </xf>
    <xf numFmtId="0" fontId="4" fillId="6" borderId="21" xfId="0" applyFont="1" applyFill="1" applyBorder="1" applyAlignment="1">
      <alignment wrapText="1"/>
    </xf>
    <xf numFmtId="43" fontId="22" fillId="0" borderId="22" xfId="0" applyNumberFormat="1" applyFont="1" applyBorder="1" applyAlignment="1">
      <alignment horizontal="right" wrapText="1"/>
    </xf>
    <xf numFmtId="4" fontId="22" fillId="0" borderId="23" xfId="0" applyNumberFormat="1" applyFont="1" applyBorder="1" applyAlignment="1">
      <alignment horizontal="right" wrapText="1"/>
    </xf>
    <xf numFmtId="4" fontId="4" fillId="0" borderId="24" xfId="0" applyNumberFormat="1" applyFont="1" applyBorder="1" applyAlignment="1">
      <alignment horizontal="right" wrapText="1"/>
    </xf>
    <xf numFmtId="9" fontId="4" fillId="0" borderId="0" xfId="0" applyNumberFormat="1" applyFont="1" applyAlignment="1">
      <alignment horizontal="right" wrapText="1"/>
    </xf>
    <xf numFmtId="10" fontId="22" fillId="2" borderId="0" xfId="0" applyNumberFormat="1" applyFont="1" applyFill="1" applyAlignment="1">
      <alignment wrapText="1"/>
    </xf>
    <xf numFmtId="0" fontId="4" fillId="6" borderId="25" xfId="0" applyFont="1" applyFill="1" applyBorder="1" applyAlignment="1">
      <alignment horizontal="center" wrapText="1"/>
    </xf>
    <xf numFmtId="4" fontId="22" fillId="2" borderId="26" xfId="0" applyNumberFormat="1" applyFont="1" applyFill="1" applyBorder="1" applyAlignment="1">
      <alignment horizontal="right" vertical="center" wrapText="1"/>
    </xf>
    <xf numFmtId="4" fontId="22" fillId="2" borderId="27" xfId="0" applyNumberFormat="1" applyFont="1" applyFill="1" applyBorder="1" applyAlignment="1">
      <alignment horizontal="right" vertical="center" wrapText="1"/>
    </xf>
    <xf numFmtId="4" fontId="4" fillId="0" borderId="28" xfId="0" applyNumberFormat="1" applyFont="1" applyBorder="1" applyAlignment="1">
      <alignment horizontal="right" wrapText="1"/>
    </xf>
    <xf numFmtId="0" fontId="4" fillId="6" borderId="29" xfId="0" applyFont="1" applyFill="1" applyBorder="1" applyAlignment="1">
      <alignment wrapText="1"/>
    </xf>
    <xf numFmtId="4" fontId="22" fillId="2" borderId="15" xfId="0" applyNumberFormat="1" applyFont="1" applyFill="1" applyBorder="1" applyAlignment="1">
      <alignment horizontal="right" vertical="center" wrapText="1"/>
    </xf>
    <xf numFmtId="4" fontId="22" fillId="2" borderId="30" xfId="0" applyNumberFormat="1" applyFont="1" applyFill="1" applyBorder="1" applyAlignment="1">
      <alignment horizontal="right" vertical="center" wrapText="1"/>
    </xf>
    <xf numFmtId="4" fontId="4" fillId="4" borderId="28" xfId="0" applyNumberFormat="1" applyFont="1" applyFill="1" applyBorder="1" applyAlignment="1">
      <alignment horizontal="right" wrapText="1"/>
    </xf>
    <xf numFmtId="3" fontId="22" fillId="2" borderId="15" xfId="0" applyNumberFormat="1" applyFont="1" applyFill="1" applyBorder="1" applyAlignment="1">
      <alignment horizontal="right" vertical="center" wrapText="1"/>
    </xf>
    <xf numFmtId="3" fontId="22" fillId="2" borderId="30" xfId="0" applyNumberFormat="1" applyFont="1" applyFill="1" applyBorder="1" applyAlignment="1">
      <alignment horizontal="right" vertical="center" wrapText="1"/>
    </xf>
    <xf numFmtId="0" fontId="4" fillId="6" borderId="31" xfId="0" applyFont="1" applyFill="1" applyBorder="1" applyAlignment="1">
      <alignment wrapText="1"/>
    </xf>
    <xf numFmtId="4" fontId="4" fillId="6" borderId="32" xfId="0" applyNumberFormat="1" applyFont="1" applyFill="1" applyBorder="1" applyAlignment="1">
      <alignment horizontal="right" vertical="center" wrapText="1"/>
    </xf>
    <xf numFmtId="4" fontId="4" fillId="6" borderId="33" xfId="0" applyNumberFormat="1" applyFont="1" applyFill="1" applyBorder="1" applyAlignment="1">
      <alignment horizontal="right" vertical="center" wrapText="1"/>
    </xf>
    <xf numFmtId="4" fontId="4" fillId="6" borderId="34" xfId="0" applyNumberFormat="1" applyFont="1" applyFill="1" applyBorder="1" applyAlignment="1">
      <alignment horizontal="right" wrapText="1"/>
    </xf>
    <xf numFmtId="9" fontId="22" fillId="0" borderId="22" xfId="0" applyNumberFormat="1" applyFont="1" applyBorder="1" applyAlignment="1">
      <alignment horizontal="right" wrapText="1"/>
    </xf>
    <xf numFmtId="9" fontId="22" fillId="0" borderId="23" xfId="0" applyNumberFormat="1" applyFont="1" applyBorder="1" applyAlignment="1">
      <alignment horizontal="right" wrapText="1"/>
    </xf>
    <xf numFmtId="9" fontId="4" fillId="0" borderId="24" xfId="0" applyNumberFormat="1" applyFont="1" applyBorder="1" applyAlignment="1">
      <alignment horizontal="right" wrapText="1"/>
    </xf>
    <xf numFmtId="0" fontId="4" fillId="6" borderId="21" xfId="0" applyFont="1" applyFill="1" applyBorder="1"/>
    <xf numFmtId="0" fontId="22" fillId="0" borderId="22" xfId="0" applyFont="1" applyBorder="1" applyAlignment="1">
      <alignment horizontal="right" wrapText="1"/>
    </xf>
    <xf numFmtId="167" fontId="22" fillId="0" borderId="22" xfId="0" applyNumberFormat="1" applyFont="1" applyBorder="1" applyAlignment="1">
      <alignment horizontal="right" wrapText="1"/>
    </xf>
    <xf numFmtId="3" fontId="22" fillId="0" borderId="23" xfId="0" applyNumberFormat="1" applyFont="1" applyBorder="1" applyAlignment="1">
      <alignment horizontal="right" wrapText="1"/>
    </xf>
    <xf numFmtId="3" fontId="4" fillId="0" borderId="24" xfId="0" applyNumberFormat="1" applyFont="1" applyBorder="1" applyAlignment="1">
      <alignment horizontal="right" wrapText="1"/>
    </xf>
    <xf numFmtId="0" fontId="4" fillId="6" borderId="25" xfId="0" applyFont="1" applyFill="1" applyBorder="1" applyAlignment="1">
      <alignment horizontal="left"/>
    </xf>
    <xf numFmtId="0" fontId="22" fillId="2" borderId="26" xfId="0" applyFont="1" applyFill="1" applyBorder="1" applyAlignment="1">
      <alignment horizontal="right" vertical="center" wrapText="1"/>
    </xf>
    <xf numFmtId="167" fontId="22" fillId="2" borderId="26" xfId="0" applyNumberFormat="1" applyFont="1" applyFill="1" applyBorder="1" applyAlignment="1">
      <alignment horizontal="right" vertical="center" wrapText="1"/>
    </xf>
    <xf numFmtId="3" fontId="22" fillId="2" borderId="27" xfId="0" applyNumberFormat="1" applyFont="1" applyFill="1" applyBorder="1" applyAlignment="1">
      <alignment horizontal="right" vertical="center" wrapText="1"/>
    </xf>
    <xf numFmtId="10" fontId="22" fillId="0" borderId="0" xfId="0" applyNumberFormat="1" applyFont="1"/>
    <xf numFmtId="0" fontId="22" fillId="0" borderId="0" xfId="0" applyFont="1"/>
    <xf numFmtId="9" fontId="4" fillId="6" borderId="32" xfId="0" applyNumberFormat="1" applyFont="1" applyFill="1" applyBorder="1" applyAlignment="1">
      <alignment horizontal="right" vertical="center" wrapText="1"/>
    </xf>
    <xf numFmtId="9" fontId="4" fillId="6" borderId="33" xfId="0" applyNumberFormat="1" applyFont="1" applyFill="1" applyBorder="1" applyAlignment="1">
      <alignment horizontal="right" vertical="center" wrapText="1"/>
    </xf>
    <xf numFmtId="0" fontId="30" fillId="0" borderId="0" xfId="0" applyFont="1" applyAlignment="1">
      <alignment horizontal="left"/>
    </xf>
    <xf numFmtId="4" fontId="30" fillId="0" borderId="0" xfId="0" applyNumberFormat="1" applyFont="1" applyAlignment="1">
      <alignment horizontal="center"/>
    </xf>
    <xf numFmtId="0" fontId="30" fillId="0" borderId="0" xfId="0" applyFont="1" applyAlignment="1">
      <alignment horizontal="center"/>
    </xf>
    <xf numFmtId="164" fontId="22" fillId="2" borderId="26" xfId="1" applyFont="1" applyFill="1" applyBorder="1" applyAlignment="1">
      <alignment horizontal="right" vertical="center" wrapText="1"/>
    </xf>
    <xf numFmtId="0" fontId="30" fillId="0" borderId="0" xfId="0" applyFont="1" applyAlignment="1">
      <alignment horizontal="center" vertical="center"/>
    </xf>
    <xf numFmtId="164" fontId="22" fillId="2" borderId="15" xfId="1" applyFont="1" applyFill="1" applyBorder="1" applyAlignment="1">
      <alignment horizontal="right" vertical="center" wrapText="1"/>
    </xf>
    <xf numFmtId="4" fontId="30" fillId="0" borderId="0" xfId="0" applyNumberFormat="1" applyFont="1" applyAlignment="1">
      <alignment horizontal="center" vertical="center"/>
    </xf>
    <xf numFmtId="3" fontId="4" fillId="6" borderId="32" xfId="0" applyNumberFormat="1" applyFont="1" applyFill="1" applyBorder="1" applyAlignment="1">
      <alignment horizontal="right" vertical="center" wrapText="1"/>
    </xf>
    <xf numFmtId="10" fontId="22" fillId="0" borderId="22" xfId="0" applyNumberFormat="1" applyFont="1" applyBorder="1" applyAlignment="1">
      <alignment horizontal="right" wrapText="1"/>
    </xf>
    <xf numFmtId="9" fontId="4" fillId="0" borderId="24" xfId="0" applyNumberFormat="1" applyFont="1" applyBorder="1" applyAlignment="1">
      <alignment wrapText="1"/>
    </xf>
    <xf numFmtId="10" fontId="22" fillId="2" borderId="26" xfId="0" applyNumberFormat="1" applyFont="1" applyFill="1" applyBorder="1" applyAlignment="1">
      <alignment horizontal="right" vertical="center" wrapText="1"/>
    </xf>
    <xf numFmtId="9" fontId="22" fillId="2" borderId="26" xfId="0" applyNumberFormat="1" applyFont="1" applyFill="1" applyBorder="1" applyAlignment="1">
      <alignment horizontal="right" vertical="center" wrapText="1"/>
    </xf>
    <xf numFmtId="9" fontId="22" fillId="2" borderId="27" xfId="0" applyNumberFormat="1" applyFont="1" applyFill="1" applyBorder="1" applyAlignment="1">
      <alignment horizontal="right" vertical="center" wrapText="1"/>
    </xf>
    <xf numFmtId="9" fontId="4" fillId="0" borderId="28" xfId="0" applyNumberFormat="1" applyFont="1" applyBorder="1" applyAlignment="1">
      <alignment wrapText="1"/>
    </xf>
    <xf numFmtId="9" fontId="4" fillId="7" borderId="28" xfId="0" applyNumberFormat="1" applyFont="1" applyFill="1" applyBorder="1" applyAlignment="1">
      <alignment wrapText="1"/>
    </xf>
    <xf numFmtId="10" fontId="4" fillId="0" borderId="28" xfId="0" applyNumberFormat="1" applyFont="1" applyBorder="1" applyAlignment="1">
      <alignment wrapText="1"/>
    </xf>
    <xf numFmtId="10" fontId="22" fillId="2" borderId="15" xfId="0" applyNumberFormat="1" applyFont="1" applyFill="1" applyBorder="1" applyAlignment="1">
      <alignment horizontal="right" vertical="center" wrapText="1"/>
    </xf>
    <xf numFmtId="43" fontId="22" fillId="2" borderId="15" xfId="0" applyNumberFormat="1" applyFont="1" applyFill="1" applyBorder="1" applyAlignment="1">
      <alignment horizontal="right" vertical="center" wrapText="1"/>
    </xf>
    <xf numFmtId="9" fontId="22" fillId="2" borderId="30" xfId="0" applyNumberFormat="1" applyFont="1" applyFill="1" applyBorder="1" applyAlignment="1">
      <alignment horizontal="right" vertical="center" wrapText="1"/>
    </xf>
    <xf numFmtId="10" fontId="4" fillId="2" borderId="28" xfId="0" applyNumberFormat="1" applyFont="1" applyFill="1" applyBorder="1" applyAlignment="1">
      <alignment wrapText="1"/>
    </xf>
    <xf numFmtId="10" fontId="4" fillId="6" borderId="32" xfId="0" applyNumberFormat="1" applyFont="1" applyFill="1" applyBorder="1" applyAlignment="1">
      <alignment horizontal="right" vertical="center" wrapText="1"/>
    </xf>
    <xf numFmtId="10" fontId="4" fillId="6" borderId="33" xfId="0" applyNumberFormat="1" applyFont="1" applyFill="1" applyBorder="1" applyAlignment="1">
      <alignment horizontal="right" vertical="center" wrapText="1"/>
    </xf>
    <xf numFmtId="10" fontId="4" fillId="6" borderId="34" xfId="0" applyNumberFormat="1" applyFont="1" applyFill="1" applyBorder="1" applyAlignment="1">
      <alignment wrapText="1"/>
    </xf>
    <xf numFmtId="0" fontId="22" fillId="0" borderId="22" xfId="0" applyFont="1" applyBorder="1" applyAlignment="1">
      <alignment horizontal="left" vertical="top" wrapText="1"/>
    </xf>
    <xf numFmtId="0" fontId="28" fillId="0" borderId="15" xfId="0" applyFont="1" applyBorder="1" applyAlignment="1">
      <alignment horizontal="justify" vertical="top"/>
    </xf>
    <xf numFmtId="0" fontId="28" fillId="0" borderId="15" xfId="0" applyFont="1" applyBorder="1" applyAlignment="1">
      <alignment horizontal="left" vertical="top" wrapText="1"/>
    </xf>
    <xf numFmtId="0" fontId="4" fillId="6" borderId="2" xfId="0" applyFont="1" applyFill="1" applyBorder="1" applyAlignment="1">
      <alignment horizontal="center" wrapText="1"/>
    </xf>
    <xf numFmtId="0" fontId="4" fillId="6" borderId="2" xfId="0" applyFont="1" applyFill="1" applyBorder="1" applyAlignment="1">
      <alignment horizontal="left" wrapText="1"/>
    </xf>
    <xf numFmtId="9" fontId="8" fillId="0" borderId="28" xfId="4" applyFont="1" applyBorder="1" applyAlignment="1">
      <alignment horizontal="right" wrapText="1" indent="1"/>
    </xf>
    <xf numFmtId="9" fontId="8" fillId="6" borderId="28" xfId="4" applyFont="1" applyFill="1" applyBorder="1" applyAlignment="1">
      <alignment horizontal="right" wrapText="1"/>
    </xf>
    <xf numFmtId="0" fontId="7" fillId="6" borderId="15" xfId="0" applyFont="1" applyFill="1" applyBorder="1" applyAlignment="1">
      <alignment horizontal="center"/>
    </xf>
    <xf numFmtId="4" fontId="7" fillId="0" borderId="0" xfId="0" applyNumberFormat="1" applyFont="1"/>
    <xf numFmtId="165" fontId="36" fillId="0" borderId="0" xfId="0" applyNumberFormat="1" applyFont="1"/>
    <xf numFmtId="165" fontId="37" fillId="0" borderId="0" xfId="0" applyNumberFormat="1" applyFont="1"/>
    <xf numFmtId="0" fontId="7" fillId="6" borderId="61" xfId="0" applyFont="1" applyFill="1" applyBorder="1" applyAlignment="1">
      <alignment horizontal="center" vertical="center"/>
    </xf>
    <xf numFmtId="0" fontId="7" fillId="2" borderId="26" xfId="0" applyFont="1" applyFill="1" applyBorder="1" applyAlignment="1">
      <alignment horizontal="center" vertical="center" wrapText="1"/>
    </xf>
    <xf numFmtId="14" fontId="7" fillId="0" borderId="26" xfId="0" applyNumberFormat="1" applyFont="1" applyBorder="1" applyAlignment="1">
      <alignment horizontal="center" vertical="center" wrapText="1"/>
    </xf>
    <xf numFmtId="0" fontId="7" fillId="2" borderId="26" xfId="0" applyFont="1" applyFill="1" applyBorder="1" applyAlignment="1">
      <alignment horizontal="center" vertical="center"/>
    </xf>
    <xf numFmtId="10" fontId="22" fillId="7" borderId="22" xfId="0" applyNumberFormat="1" applyFont="1" applyFill="1" applyBorder="1" applyAlignment="1">
      <alignment horizontal="right" wrapText="1"/>
    </xf>
    <xf numFmtId="0" fontId="19" fillId="0" borderId="13" xfId="0" applyFont="1" applyBorder="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8" fillId="0" borderId="1" xfId="0" applyFont="1" applyBorder="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3" fillId="0" borderId="0" xfId="0" applyFont="1" applyAlignment="1">
      <alignment horizontal="center" wrapText="1"/>
    </xf>
    <xf numFmtId="164" fontId="3" fillId="0" borderId="0" xfId="1" applyFont="1" applyBorder="1" applyAlignment="1">
      <alignment horizontal="center" wrapText="1"/>
    </xf>
    <xf numFmtId="0" fontId="5" fillId="5" borderId="0" xfId="0" applyFont="1" applyFill="1" applyAlignment="1">
      <alignment horizontal="center" wrapText="1"/>
    </xf>
    <xf numFmtId="0" fontId="9" fillId="6" borderId="5"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8" fillId="0" borderId="14"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wrapText="1"/>
    </xf>
    <xf numFmtId="0" fontId="9"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8" fillId="2" borderId="15" xfId="0" applyFont="1" applyFill="1" applyBorder="1" applyAlignment="1">
      <alignment horizontal="center" vertical="center" wrapText="1"/>
    </xf>
    <xf numFmtId="9" fontId="8" fillId="2" borderId="29" xfId="0" applyNumberFormat="1" applyFont="1" applyFill="1" applyBorder="1" applyAlignment="1">
      <alignment horizontal="center" vertical="center" wrapText="1"/>
    </xf>
    <xf numFmtId="9" fontId="8" fillId="2" borderId="15" xfId="0" applyNumberFormat="1" applyFont="1" applyFill="1" applyBorder="1" applyAlignment="1">
      <alignment horizontal="center" vertical="center" wrapText="1"/>
    </xf>
    <xf numFmtId="0" fontId="8" fillId="2" borderId="1" xfId="0" applyFont="1" applyFill="1" applyBorder="1" applyAlignment="1">
      <alignment horizontal="left" wrapText="1"/>
    </xf>
    <xf numFmtId="0" fontId="10" fillId="6" borderId="5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 xfId="0" applyFont="1" applyBorder="1" applyAlignment="1">
      <alignment horizontal="left" wrapText="1"/>
    </xf>
    <xf numFmtId="0" fontId="8" fillId="0" borderId="13" xfId="0" applyFont="1" applyBorder="1" applyAlignment="1">
      <alignment horizontal="center" wrapText="1"/>
    </xf>
    <xf numFmtId="0" fontId="8" fillId="0" borderId="17" xfId="0" applyFont="1" applyBorder="1" applyAlignment="1">
      <alignment horizontal="center" wrapText="1"/>
    </xf>
    <xf numFmtId="167" fontId="8" fillId="0" borderId="13" xfId="0" applyNumberFormat="1" applyFont="1" applyBorder="1" applyAlignment="1">
      <alignment horizontal="center" vertical="top" wrapText="1"/>
    </xf>
    <xf numFmtId="167" fontId="8" fillId="0" borderId="17" xfId="0" applyNumberFormat="1" applyFont="1" applyBorder="1" applyAlignment="1">
      <alignment horizontal="center" vertical="top" wrapText="1"/>
    </xf>
    <xf numFmtId="4" fontId="8" fillId="0" borderId="13" xfId="0" applyNumberFormat="1" applyFont="1" applyBorder="1" applyAlignment="1">
      <alignment horizontal="center" wrapText="1"/>
    </xf>
    <xf numFmtId="4" fontId="8" fillId="0" borderId="17" xfId="0" applyNumberFormat="1" applyFont="1" applyBorder="1" applyAlignment="1">
      <alignment horizontal="center" wrapText="1"/>
    </xf>
    <xf numFmtId="0" fontId="23" fillId="0" borderId="0" xfId="0" applyFont="1" applyAlignment="1">
      <alignment horizontal="center"/>
    </xf>
    <xf numFmtId="3" fontId="10" fillId="0" borderId="48" xfId="0" applyNumberFormat="1" applyFont="1" applyBorder="1" applyAlignment="1">
      <alignment horizontal="center" vertical="center" wrapText="1"/>
    </xf>
    <xf numFmtId="3" fontId="10" fillId="0" borderId="0" xfId="0" applyNumberFormat="1" applyFont="1" applyAlignment="1">
      <alignment horizontal="center" vertical="center" wrapText="1"/>
    </xf>
    <xf numFmtId="4" fontId="19" fillId="0" borderId="13" xfId="0" applyNumberFormat="1" applyFont="1" applyBorder="1" applyAlignment="1">
      <alignment horizontal="center"/>
    </xf>
    <xf numFmtId="4" fontId="19" fillId="0" borderId="16" xfId="0" applyNumberFormat="1" applyFont="1" applyBorder="1" applyAlignment="1">
      <alignment horizontal="center"/>
    </xf>
    <xf numFmtId="4" fontId="19" fillId="0" borderId="17" xfId="0" applyNumberFormat="1" applyFont="1" applyBorder="1" applyAlignment="1">
      <alignment horizontal="center"/>
    </xf>
    <xf numFmtId="0" fontId="21" fillId="0" borderId="0" xfId="0" applyFont="1" applyAlignment="1">
      <alignment horizontal="center" wrapText="1"/>
    </xf>
    <xf numFmtId="0" fontId="12" fillId="0" borderId="0" xfId="0" applyFont="1" applyAlignment="1">
      <alignment horizontal="center" wrapText="1"/>
    </xf>
    <xf numFmtId="0" fontId="8" fillId="2" borderId="16" xfId="0" applyFont="1" applyFill="1" applyBorder="1" applyAlignment="1">
      <alignment horizont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6" borderId="2" xfId="0" applyFont="1" applyFill="1" applyBorder="1" applyAlignment="1">
      <alignment horizontal="left" vertical="center" wrapText="1"/>
    </xf>
    <xf numFmtId="4" fontId="8" fillId="6" borderId="13" xfId="0" applyNumberFormat="1" applyFont="1" applyFill="1" applyBorder="1" applyAlignment="1">
      <alignment horizontal="center" wrapText="1"/>
    </xf>
    <xf numFmtId="4" fontId="8" fillId="6" borderId="17" xfId="0" applyNumberFormat="1" applyFont="1" applyFill="1" applyBorder="1" applyAlignment="1">
      <alignment horizontal="center" wrapText="1"/>
    </xf>
    <xf numFmtId="4" fontId="8" fillId="4" borderId="2" xfId="0" applyNumberFormat="1" applyFont="1" applyFill="1" applyBorder="1" applyAlignment="1">
      <alignment horizontal="center" wrapText="1"/>
    </xf>
    <xf numFmtId="0" fontId="15" fillId="0" borderId="0" xfId="0" applyFont="1" applyAlignment="1">
      <alignment horizontal="left"/>
    </xf>
    <xf numFmtId="0" fontId="8" fillId="0" borderId="2" xfId="0" applyFont="1" applyBorder="1" applyAlignment="1">
      <alignment horizontal="left"/>
    </xf>
    <xf numFmtId="4" fontId="8" fillId="0" borderId="13" xfId="0" applyNumberFormat="1" applyFont="1" applyBorder="1" applyAlignment="1">
      <alignment horizontal="center" vertical="center" wrapText="1"/>
    </xf>
    <xf numFmtId="4" fontId="8" fillId="0" borderId="17" xfId="0" applyNumberFormat="1" applyFont="1" applyBorder="1" applyAlignment="1">
      <alignment horizontal="center" vertical="center" wrapText="1"/>
    </xf>
    <xf numFmtId="3" fontId="8" fillId="0" borderId="13" xfId="0" applyNumberFormat="1" applyFont="1" applyBorder="1" applyAlignment="1">
      <alignment horizontal="center" wrapText="1"/>
    </xf>
    <xf numFmtId="3" fontId="8" fillId="0" borderId="17" xfId="0" applyNumberFormat="1" applyFont="1" applyBorder="1" applyAlignment="1">
      <alignment horizontal="center" wrapText="1"/>
    </xf>
    <xf numFmtId="3" fontId="8" fillId="0" borderId="13"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0" fontId="8" fillId="0" borderId="13" xfId="0" applyFont="1" applyBorder="1" applyAlignment="1">
      <alignment horizontal="left" wrapText="1"/>
    </xf>
    <xf numFmtId="0" fontId="8" fillId="0" borderId="16" xfId="0" applyFont="1" applyBorder="1" applyAlignment="1">
      <alignment horizontal="left" wrapText="1"/>
    </xf>
    <xf numFmtId="0" fontId="8" fillId="0" borderId="17" xfId="0" applyFont="1" applyBorder="1" applyAlignment="1">
      <alignment horizontal="left" wrapText="1"/>
    </xf>
    <xf numFmtId="0" fontId="8" fillId="6" borderId="2" xfId="0" applyFont="1" applyFill="1" applyBorder="1" applyAlignment="1">
      <alignment horizontal="center" vertical="top" wrapText="1"/>
    </xf>
    <xf numFmtId="0" fontId="7" fillId="6" borderId="2" xfId="0" applyFont="1" applyFill="1" applyBorder="1" applyAlignment="1">
      <alignment horizontal="center" vertical="top" wrapText="1"/>
    </xf>
    <xf numFmtId="0" fontId="7" fillId="6" borderId="5" xfId="0" applyFont="1" applyFill="1" applyBorder="1" applyAlignment="1">
      <alignment horizontal="center" vertical="top" wrapText="1"/>
    </xf>
    <xf numFmtId="0" fontId="8" fillId="6" borderId="3" xfId="0" applyFont="1" applyFill="1" applyBorder="1" applyAlignment="1">
      <alignment horizontal="center" vertical="top" wrapText="1"/>
    </xf>
    <xf numFmtId="0" fontId="8" fillId="6" borderId="4"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8" xfId="0" applyFont="1" applyFill="1" applyBorder="1" applyAlignment="1">
      <alignment horizontal="center" vertical="top" wrapText="1"/>
    </xf>
    <xf numFmtId="0" fontId="8" fillId="6" borderId="5" xfId="0" applyFont="1" applyFill="1" applyBorder="1" applyAlignment="1">
      <alignment horizontal="center" vertical="top" wrapText="1"/>
    </xf>
    <xf numFmtId="0" fontId="7" fillId="6" borderId="10" xfId="0" applyFont="1" applyFill="1" applyBorder="1" applyAlignment="1">
      <alignment horizontal="center" vertical="top" wrapText="1"/>
    </xf>
    <xf numFmtId="0" fontId="7" fillId="6" borderId="9" xfId="0" applyFont="1" applyFill="1" applyBorder="1" applyAlignment="1">
      <alignment horizontal="center" vertical="top" wrapText="1"/>
    </xf>
    <xf numFmtId="0" fontId="8" fillId="6" borderId="9" xfId="0" applyFont="1" applyFill="1" applyBorder="1" applyAlignment="1">
      <alignment horizontal="center" vertical="top" wrapText="1"/>
    </xf>
    <xf numFmtId="0" fontId="8" fillId="6" borderId="6" xfId="0" applyFont="1" applyFill="1" applyBorder="1" applyAlignment="1">
      <alignment horizontal="center" vertical="top" wrapText="1"/>
    </xf>
    <xf numFmtId="0" fontId="7" fillId="6" borderId="11" xfId="0" applyFont="1" applyFill="1" applyBorder="1" applyAlignment="1">
      <alignment horizontal="center" vertical="top" wrapText="1"/>
    </xf>
    <xf numFmtId="0" fontId="7" fillId="6" borderId="12" xfId="0" applyFont="1" applyFill="1" applyBorder="1" applyAlignment="1">
      <alignment horizontal="center" vertical="top" wrapText="1"/>
    </xf>
    <xf numFmtId="0" fontId="8" fillId="6" borderId="14" xfId="0" applyFont="1" applyFill="1" applyBorder="1" applyAlignment="1">
      <alignment horizontal="center" vertical="top" wrapText="1"/>
    </xf>
    <xf numFmtId="3"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wrapText="1"/>
    </xf>
    <xf numFmtId="164" fontId="8" fillId="0" borderId="0" xfId="1" applyFont="1" applyBorder="1" applyAlignment="1">
      <alignment horizontal="center" wrapText="1"/>
    </xf>
    <xf numFmtId="0" fontId="11" fillId="5" borderId="0" xfId="0" applyFont="1" applyFill="1" applyAlignment="1">
      <alignment horizontal="center" wrapText="1"/>
    </xf>
    <xf numFmtId="0" fontId="8" fillId="6" borderId="5"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15" fillId="0" borderId="0" xfId="0" applyFont="1"/>
    <xf numFmtId="0" fontId="15" fillId="0" borderId="0" xfId="0" applyFont="1" applyAlignment="1">
      <alignment horizontal="center"/>
    </xf>
    <xf numFmtId="0" fontId="8" fillId="6" borderId="1" xfId="0" applyFont="1" applyFill="1" applyBorder="1" applyAlignment="1">
      <alignment horizontal="center" vertical="center" wrapText="1"/>
    </xf>
    <xf numFmtId="0" fontId="8" fillId="6" borderId="13" xfId="0" applyFont="1" applyFill="1" applyBorder="1" applyAlignment="1">
      <alignment horizontal="center" wrapText="1"/>
    </xf>
    <xf numFmtId="0" fontId="8" fillId="6" borderId="16" xfId="0" applyFont="1" applyFill="1" applyBorder="1" applyAlignment="1">
      <alignment horizontal="center" wrapText="1"/>
    </xf>
    <xf numFmtId="0" fontId="8" fillId="6" borderId="17" xfId="0" applyFont="1" applyFill="1" applyBorder="1" applyAlignment="1">
      <alignment horizontal="center" wrapText="1"/>
    </xf>
    <xf numFmtId="0" fontId="7" fillId="6" borderId="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2" fillId="0" borderId="0" xfId="0" applyFont="1" applyAlignment="1">
      <alignment horizontal="center"/>
    </xf>
    <xf numFmtId="0" fontId="17" fillId="6" borderId="13" xfId="0" applyFont="1" applyFill="1" applyBorder="1" applyAlignment="1">
      <alignment horizontal="center"/>
    </xf>
    <xf numFmtId="0" fontId="17" fillId="6" borderId="16" xfId="0" applyFont="1" applyFill="1" applyBorder="1" applyAlignment="1">
      <alignment horizontal="center"/>
    </xf>
    <xf numFmtId="0" fontId="17" fillId="6" borderId="17" xfId="0" applyFont="1" applyFill="1" applyBorder="1" applyAlignment="1">
      <alignment horizontal="center"/>
    </xf>
    <xf numFmtId="4" fontId="8" fillId="0" borderId="2" xfId="0" applyNumberFormat="1" applyFont="1" applyBorder="1" applyAlignment="1">
      <alignment horizontal="center" wrapText="1"/>
    </xf>
    <xf numFmtId="0" fontId="8" fillId="6" borderId="13" xfId="0" applyFont="1" applyFill="1" applyBorder="1" applyAlignment="1">
      <alignment horizontal="center"/>
    </xf>
    <xf numFmtId="0" fontId="8" fillId="6" borderId="16" xfId="0" applyFont="1" applyFill="1" applyBorder="1" applyAlignment="1">
      <alignment horizontal="center"/>
    </xf>
    <xf numFmtId="0" fontId="8" fillId="6" borderId="17" xfId="0" applyFont="1" applyFill="1" applyBorder="1" applyAlignment="1">
      <alignment horizontal="center"/>
    </xf>
    <xf numFmtId="4" fontId="8" fillId="6" borderId="13" xfId="0" applyNumberFormat="1" applyFont="1" applyFill="1" applyBorder="1" applyAlignment="1">
      <alignment horizontal="center" vertical="center"/>
    </xf>
    <xf numFmtId="4" fontId="8" fillId="6" borderId="16" xfId="0" applyNumberFormat="1" applyFont="1" applyFill="1" applyBorder="1" applyAlignment="1">
      <alignment horizontal="center" vertical="center"/>
    </xf>
    <xf numFmtId="4" fontId="8" fillId="6" borderId="17" xfId="0" applyNumberFormat="1" applyFont="1" applyFill="1" applyBorder="1" applyAlignment="1">
      <alignment horizontal="center" vertical="center"/>
    </xf>
    <xf numFmtId="0" fontId="17" fillId="0" borderId="0" xfId="0" applyFont="1" applyAlignment="1">
      <alignment horizontal="left"/>
    </xf>
    <xf numFmtId="0" fontId="17" fillId="0" borderId="0" xfId="0" applyFont="1" applyAlignment="1">
      <alignment horizontal="center"/>
    </xf>
    <xf numFmtId="0" fontId="32" fillId="0" borderId="13" xfId="0" applyFont="1" applyBorder="1" applyAlignment="1">
      <alignment horizontal="center"/>
    </xf>
    <xf numFmtId="0" fontId="32" fillId="0" borderId="16" xfId="0" applyFont="1" applyBorder="1" applyAlignment="1">
      <alignment horizontal="center"/>
    </xf>
    <xf numFmtId="0" fontId="32" fillId="0" borderId="17" xfId="0" applyFont="1" applyBorder="1" applyAlignment="1">
      <alignment horizontal="center"/>
    </xf>
    <xf numFmtId="9" fontId="4" fillId="2" borderId="13" xfId="0" applyNumberFormat="1" applyFont="1" applyFill="1" applyBorder="1" applyAlignment="1">
      <alignment horizontal="center" vertical="center" wrapText="1"/>
    </xf>
    <xf numFmtId="9" fontId="4" fillId="2" borderId="16" xfId="0" applyNumberFormat="1" applyFont="1" applyFill="1" applyBorder="1" applyAlignment="1">
      <alignment horizontal="center" vertical="center" wrapText="1"/>
    </xf>
    <xf numFmtId="9" fontId="4" fillId="2" borderId="17" xfId="0" applyNumberFormat="1" applyFont="1" applyFill="1" applyBorder="1" applyAlignment="1">
      <alignment horizontal="center" vertical="center" wrapText="1"/>
    </xf>
    <xf numFmtId="3" fontId="22" fillId="0" borderId="48" xfId="0" applyNumberFormat="1" applyFont="1" applyBorder="1" applyAlignment="1">
      <alignment horizontal="center" vertical="center" wrapText="1"/>
    </xf>
    <xf numFmtId="3" fontId="22" fillId="0" borderId="0" xfId="0" applyNumberFormat="1" applyFont="1" applyAlignment="1">
      <alignment horizontal="center" vertical="center" wrapText="1"/>
    </xf>
    <xf numFmtId="0" fontId="4" fillId="0" borderId="13" xfId="0" applyFont="1" applyBorder="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left" wrapText="1"/>
    </xf>
    <xf numFmtId="0" fontId="4" fillId="2" borderId="16" xfId="0" applyFont="1" applyFill="1" applyBorder="1" applyAlignment="1">
      <alignment horizontal="left"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9" fontId="4" fillId="2" borderId="46" xfId="0" applyNumberFormat="1" applyFont="1" applyFill="1" applyBorder="1" applyAlignment="1">
      <alignment horizontal="center" vertical="center" wrapText="1"/>
    </xf>
    <xf numFmtId="9" fontId="4" fillId="2" borderId="43" xfId="0" applyNumberFormat="1" applyFont="1" applyFill="1" applyBorder="1" applyAlignment="1">
      <alignment horizontal="center" vertical="center" wrapText="1"/>
    </xf>
    <xf numFmtId="9" fontId="4" fillId="2" borderId="47" xfId="0" applyNumberFormat="1"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7" xfId="0" applyFont="1" applyFill="1" applyBorder="1" applyAlignment="1">
      <alignment horizontal="center" vertical="center" wrapText="1"/>
    </xf>
    <xf numFmtId="9" fontId="4" fillId="0" borderId="13" xfId="0" applyNumberFormat="1"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0" borderId="17" xfId="0" applyNumberFormat="1" applyFont="1" applyBorder="1" applyAlignment="1">
      <alignment horizontal="center" vertical="center" wrapText="1"/>
    </xf>
    <xf numFmtId="0" fontId="4" fillId="2" borderId="15" xfId="0" applyFont="1" applyFill="1" applyBorder="1" applyAlignment="1">
      <alignment horizontal="center" vertical="center" wrapText="1"/>
    </xf>
    <xf numFmtId="0" fontId="4" fillId="0" borderId="13"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xf>
    <xf numFmtId="164" fontId="4" fillId="0" borderId="0" xfId="1" applyFont="1" applyBorder="1" applyAlignment="1">
      <alignment horizontal="center" wrapText="1"/>
    </xf>
    <xf numFmtId="0" fontId="31" fillId="5" borderId="0" xfId="0" applyFont="1" applyFill="1" applyAlignment="1">
      <alignment horizontal="center" wrapText="1"/>
    </xf>
    <xf numFmtId="4" fontId="4" fillId="0" borderId="13" xfId="0" applyNumberFormat="1" applyFont="1" applyBorder="1" applyAlignment="1">
      <alignment horizontal="center" wrapText="1"/>
    </xf>
    <xf numFmtId="4" fontId="4" fillId="0" borderId="17" xfId="0" applyNumberFormat="1" applyFont="1" applyBorder="1" applyAlignment="1">
      <alignment horizontal="center" wrapText="1"/>
    </xf>
    <xf numFmtId="0" fontId="4" fillId="0" borderId="3"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wrapText="1"/>
    </xf>
    <xf numFmtId="0" fontId="29" fillId="0" borderId="0" xfId="0" applyFont="1" applyAlignment="1">
      <alignment horizontal="center"/>
    </xf>
    <xf numFmtId="0" fontId="4" fillId="6" borderId="13"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4" fontId="4" fillId="6" borderId="13" xfId="0" applyNumberFormat="1" applyFont="1" applyFill="1" applyBorder="1" applyAlignment="1">
      <alignment horizontal="center" wrapText="1"/>
    </xf>
    <xf numFmtId="4" fontId="4" fillId="6" borderId="17" xfId="0" applyNumberFormat="1" applyFont="1" applyFill="1" applyBorder="1" applyAlignment="1">
      <alignment horizontal="center" wrapText="1"/>
    </xf>
    <xf numFmtId="4" fontId="4" fillId="4" borderId="2" xfId="0" applyNumberFormat="1" applyFont="1" applyFill="1" applyBorder="1" applyAlignment="1">
      <alignment horizontal="center" wrapText="1"/>
    </xf>
    <xf numFmtId="0" fontId="30" fillId="0" borderId="0" xfId="0" applyFont="1" applyAlignment="1">
      <alignment horizontal="left"/>
    </xf>
    <xf numFmtId="0" fontId="4" fillId="2" borderId="13" xfId="0" applyFont="1" applyFill="1" applyBorder="1" applyAlignment="1">
      <alignment horizontal="center" wrapText="1"/>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4" fontId="4" fillId="0" borderId="2" xfId="0" applyNumberFormat="1" applyFont="1" applyBorder="1" applyAlignment="1">
      <alignment horizontal="center" vertical="center" wrapText="1"/>
    </xf>
    <xf numFmtId="0" fontId="4" fillId="0" borderId="13"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3" fontId="4" fillId="0" borderId="13" xfId="0" applyNumberFormat="1" applyFont="1" applyBorder="1" applyAlignment="1">
      <alignment horizontal="center" wrapText="1"/>
    </xf>
    <xf numFmtId="3" fontId="4" fillId="0" borderId="17" xfId="0" applyNumberFormat="1" applyFont="1" applyBorder="1" applyAlignment="1">
      <alignment horizontal="center" wrapText="1"/>
    </xf>
    <xf numFmtId="3" fontId="4" fillId="0" borderId="2" xfId="0" applyNumberFormat="1" applyFont="1" applyBorder="1" applyAlignment="1">
      <alignment horizontal="center" vertical="center" wrapText="1"/>
    </xf>
    <xf numFmtId="0" fontId="19" fillId="6" borderId="13" xfId="0" applyFont="1" applyFill="1" applyBorder="1" applyAlignment="1">
      <alignment horizontal="center"/>
    </xf>
    <xf numFmtId="0" fontId="19" fillId="6" borderId="16" xfId="0" applyFont="1" applyFill="1" applyBorder="1" applyAlignment="1">
      <alignment horizontal="center"/>
    </xf>
    <xf numFmtId="0" fontId="19" fillId="6" borderId="17" xfId="0" applyFont="1" applyFill="1" applyBorder="1" applyAlignment="1">
      <alignment horizontal="center"/>
    </xf>
    <xf numFmtId="0" fontId="19" fillId="6" borderId="10" xfId="0" applyFont="1" applyFill="1" applyBorder="1" applyAlignment="1">
      <alignment horizontal="center"/>
    </xf>
    <xf numFmtId="0" fontId="19" fillId="6" borderId="0" xfId="0" applyFont="1" applyFill="1" applyAlignment="1">
      <alignment horizont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9" fontId="8" fillId="2" borderId="18" xfId="0" applyNumberFormat="1" applyFont="1" applyFill="1" applyBorder="1" applyAlignment="1">
      <alignment horizontal="center" vertical="center" wrapText="1"/>
    </xf>
    <xf numFmtId="9" fontId="8" fillId="2" borderId="19" xfId="0" applyNumberFormat="1" applyFont="1" applyFill="1" applyBorder="1" applyAlignment="1">
      <alignment horizontal="center" vertical="center" wrapText="1"/>
    </xf>
    <xf numFmtId="9" fontId="8" fillId="2" borderId="40" xfId="0" applyNumberFormat="1" applyFont="1" applyFill="1" applyBorder="1" applyAlignment="1">
      <alignment horizontal="center" vertical="center" wrapText="1"/>
    </xf>
    <xf numFmtId="0" fontId="9" fillId="0" borderId="13"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4" fontId="8" fillId="6" borderId="2" xfId="0" applyNumberFormat="1" applyFont="1" applyFill="1" applyBorder="1" applyAlignment="1">
      <alignment horizontal="center" wrapText="1"/>
    </xf>
  </cellXfs>
  <cellStyles count="5">
    <cellStyle name="Millares" xfId="1" builtinId="3"/>
    <cellStyle name="Millares 2" xfId="2" xr:uid="{6B34CFBF-05CB-45AA-B180-FA091A5B4712}"/>
    <cellStyle name="Moneda" xfId="3" builtinId="4"/>
    <cellStyle name="Normal" xfId="0" builtinId="0"/>
    <cellStyle name="Porcentaje" xfId="4" builtinId="5"/>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71736</xdr:colOff>
      <xdr:row>0</xdr:row>
      <xdr:rowOff>33226</xdr:rowOff>
    </xdr:from>
    <xdr:to>
      <xdr:col>2</xdr:col>
      <xdr:colOff>99190</xdr:colOff>
      <xdr:row>5</xdr:row>
      <xdr:rowOff>28535</xdr:rowOff>
    </xdr:to>
    <xdr:pic>
      <xdr:nvPicPr>
        <xdr:cNvPr id="2" name="Picture 1" descr="Logo CONIAF">
          <a:extLst>
            <a:ext uri="{FF2B5EF4-FFF2-40B4-BE49-F238E27FC236}">
              <a16:creationId xmlns:a16="http://schemas.microsoft.com/office/drawing/2014/main" id="{1CFB35FF-FB22-453A-9877-6EA29309623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736" y="33226"/>
          <a:ext cx="1356524" cy="79275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49585</xdr:colOff>
      <xdr:row>0</xdr:row>
      <xdr:rowOff>0</xdr:rowOff>
    </xdr:from>
    <xdr:to>
      <xdr:col>2</xdr:col>
      <xdr:colOff>77039</xdr:colOff>
      <xdr:row>4</xdr:row>
      <xdr:rowOff>168088</xdr:rowOff>
    </xdr:to>
    <xdr:pic>
      <xdr:nvPicPr>
        <xdr:cNvPr id="2" name="Picture 1" descr="Logo CONIAF">
          <a:extLst>
            <a:ext uri="{FF2B5EF4-FFF2-40B4-BE49-F238E27FC236}">
              <a16:creationId xmlns:a16="http://schemas.microsoft.com/office/drawing/2014/main" id="{4DDB0E06-EEFF-4951-872A-8B9ECB9A2F3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360954" cy="787213"/>
        </a:xfrm>
        <a:prstGeom prst="rect">
          <a:avLst/>
        </a:prstGeom>
        <a:noFill/>
        <a:ln w="9525">
          <a:noFill/>
          <a:miter lim="800000"/>
          <a:headEnd/>
          <a:tailEnd/>
        </a:ln>
      </xdr:spPr>
    </xdr:pic>
    <xdr:clientData/>
  </xdr:twoCellAnchor>
  <xdr:twoCellAnchor>
    <xdr:from>
      <xdr:col>0</xdr:col>
      <xdr:colOff>49585</xdr:colOff>
      <xdr:row>0</xdr:row>
      <xdr:rowOff>0</xdr:rowOff>
    </xdr:from>
    <xdr:to>
      <xdr:col>2</xdr:col>
      <xdr:colOff>77039</xdr:colOff>
      <xdr:row>4</xdr:row>
      <xdr:rowOff>168088</xdr:rowOff>
    </xdr:to>
    <xdr:pic>
      <xdr:nvPicPr>
        <xdr:cNvPr id="3" name="Picture 1" descr="Logo CONIAF">
          <a:extLst>
            <a:ext uri="{FF2B5EF4-FFF2-40B4-BE49-F238E27FC236}">
              <a16:creationId xmlns:a16="http://schemas.microsoft.com/office/drawing/2014/main" id="{DE1A7520-2080-4E51-9F27-F4FE0035F8F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456204" cy="7872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49585</xdr:colOff>
      <xdr:row>0</xdr:row>
      <xdr:rowOff>0</xdr:rowOff>
    </xdr:from>
    <xdr:to>
      <xdr:col>2</xdr:col>
      <xdr:colOff>77039</xdr:colOff>
      <xdr:row>4</xdr:row>
      <xdr:rowOff>168088</xdr:rowOff>
    </xdr:to>
    <xdr:pic>
      <xdr:nvPicPr>
        <xdr:cNvPr id="2" name="Picture 1" descr="Logo CONIAF">
          <a:extLst>
            <a:ext uri="{FF2B5EF4-FFF2-40B4-BE49-F238E27FC236}">
              <a16:creationId xmlns:a16="http://schemas.microsoft.com/office/drawing/2014/main" id="{5A42667C-8A49-43C5-BE1C-3E0A831C822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360954" cy="7872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49585</xdr:colOff>
      <xdr:row>0</xdr:row>
      <xdr:rowOff>0</xdr:rowOff>
    </xdr:from>
    <xdr:to>
      <xdr:col>2</xdr:col>
      <xdr:colOff>77039</xdr:colOff>
      <xdr:row>4</xdr:row>
      <xdr:rowOff>168088</xdr:rowOff>
    </xdr:to>
    <xdr:pic>
      <xdr:nvPicPr>
        <xdr:cNvPr id="2" name="Picture 1" descr="Logo CONIAF">
          <a:extLst>
            <a:ext uri="{FF2B5EF4-FFF2-40B4-BE49-F238E27FC236}">
              <a16:creationId xmlns:a16="http://schemas.microsoft.com/office/drawing/2014/main" id="{1E9B8D82-3C46-4DEA-BE64-C77DDF44E06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360954" cy="787213"/>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Carlos Sanquintin" id="{547EFCDC-681C-47AD-A28E-343C6FA15F63}" userId="S::carlossanquintin@coniaf.onmicrosoft.com::68a97489-eb27-4b56-90f9-d22c5b85cbf4"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8" dT="2022-12-27T13:28:24.76" personId="{547EFCDC-681C-47AD-A28E-343C6FA15F63}" id="{94FF534A-8EFD-43B1-8563-6A7155560070}">
    <text>Debes dar el detalle, si fue una visita de seguimiento y si el técnico le compaño, sus recomendaciones de seguimiento, de acuerdo a la justificación de la solicitud del viatico y pago a facilitador.</text>
  </threadedComment>
  <threadedComment ref="C22" dT="2022-12-27T13:28:24.76" personId="{547EFCDC-681C-47AD-A28E-343C6FA15F63}" id="{4965D9A1-A6C4-4724-8748-7BC5F31EBFCC}">
    <text>Debes dar el detalle, si fue una visita de seguimiento y si el técnico le compaño, sus recomendaciones de seguimiento, de acuerdo a la justificación de la solicitud del viatico y pago a facilitador.</text>
  </threadedComment>
</ThreadedComments>
</file>

<file path=xl/threadedComments/threadedComment2.xml><?xml version="1.0" encoding="utf-8"?>
<ThreadedComments xmlns="http://schemas.microsoft.com/office/spreadsheetml/2018/threadedcomments" xmlns:x="http://schemas.openxmlformats.org/spreadsheetml/2006/main">
  <threadedComment ref="C19" dT="2022-12-27T13:28:24.76" personId="{547EFCDC-681C-47AD-A28E-343C6FA15F63}" id="{B6FFB4F7-5294-4EC8-A722-CF0CF7E33B0A}">
    <text>Debes dar el detalle, si fue una visita de seguimiento y si el técnico le compaño, sus recomendaciones de seguimiento, de acuerdo a la justificación de la solicitud del viatico y pago a facilitador.</text>
  </threadedComment>
  <threadedComment ref="C22" dT="2022-12-27T13:28:24.76" personId="{547EFCDC-681C-47AD-A28E-343C6FA15F63}" id="{8F53D9BE-0430-49DA-A941-02DD3A3E6A7C}">
    <text>Debes dar el detalle, si fue una visita de seguimiento y si el técnico le compaño, sus recomendaciones de seguimiento, de acuerdo a la justificación de la solicitud del viatico y pago a facilitador.</text>
  </threadedComment>
</ThreadedComments>
</file>

<file path=xl/threadedComments/threadedComment3.xml><?xml version="1.0" encoding="utf-8"?>
<ThreadedComments xmlns="http://schemas.microsoft.com/office/spreadsheetml/2018/threadedcomments" xmlns:x="http://schemas.openxmlformats.org/spreadsheetml/2006/main">
  <threadedComment ref="C18" dT="2022-12-27T13:28:24.76" personId="{547EFCDC-681C-47AD-A28E-343C6FA15F63}" id="{63C5CD5F-D1AC-41C5-9649-64F5B130B9EF}">
    <text>Debes dar el detalle, si fue una visita de seguimiento y si el técnico le compaño, sus recomendaciones de seguimiento, de acuerdo a la justificación de la solicitud del viatico y pago a facilitador.</text>
  </threadedComment>
  <threadedComment ref="C20" dT="2022-12-27T13:28:24.76" personId="{547EFCDC-681C-47AD-A28E-343C6FA15F63}" id="{64327B6A-3D41-4983-B483-6F8930E63076}">
    <text>Debes dar el detalle, si fue una visita de seguimiento y si el técnico le compaño, sus recomendaciones de seguimiento, de acuerdo a la justificación de la solicitud del viatico y pago a facilitador.</text>
  </threadedComment>
  <threadedComment ref="C23" dT="2022-12-27T13:28:24.76" personId="{547EFCDC-681C-47AD-A28E-343C6FA15F63}" id="{41C67423-F5E9-46FC-A126-1A9EBE8CBAE7}">
    <text>Debes dar el detalle, si fue una visita de seguimiento y si el técnico le compaño, sus recomendaciones de seguimiento, de acuerdo a la justificación de la solicitud del viatico y pago a facilitador.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AB44-43EC-456D-8F9B-537C5DA36D10}">
  <sheetPr>
    <pageSetUpPr fitToPage="1"/>
  </sheetPr>
  <dimension ref="A1:V149"/>
  <sheetViews>
    <sheetView zoomScale="80" zoomScaleNormal="80" workbookViewId="0">
      <selection activeCell="J102" sqref="J102"/>
    </sheetView>
  </sheetViews>
  <sheetFormatPr baseColWidth="10" defaultRowHeight="15" x14ac:dyDescent="0.25"/>
  <cols>
    <col min="1" max="1" width="4" customWidth="1"/>
    <col min="2" max="2" width="16" customWidth="1"/>
    <col min="3" max="3" width="43.42578125" customWidth="1"/>
    <col min="4" max="4" width="19.140625" customWidth="1"/>
    <col min="5" max="5" width="15.140625" customWidth="1"/>
    <col min="6" max="6" width="13.140625" customWidth="1"/>
    <col min="7" max="7" width="14.28515625" customWidth="1"/>
    <col min="8" max="8" width="11" customWidth="1"/>
    <col min="9" max="9" width="20.5703125" customWidth="1"/>
    <col min="10" max="10" width="19.28515625" customWidth="1"/>
    <col min="11" max="11" width="18" customWidth="1"/>
    <col min="12" max="12" width="20.42578125" customWidth="1"/>
    <col min="13" max="13" width="20.5703125" customWidth="1"/>
    <col min="14" max="14" width="16.140625" customWidth="1"/>
    <col min="15" max="15" width="17" customWidth="1"/>
    <col min="16" max="16" width="20.28515625" customWidth="1"/>
    <col min="17" max="17" width="15.42578125" customWidth="1"/>
    <col min="18" max="18" width="15" customWidth="1"/>
    <col min="19" max="20" width="17.5703125" customWidth="1"/>
    <col min="21" max="21" width="20" customWidth="1"/>
  </cols>
  <sheetData>
    <row r="1" spans="1:15" ht="18" x14ac:dyDescent="0.25">
      <c r="A1" s="684" t="s">
        <v>0</v>
      </c>
      <c r="B1" s="684"/>
      <c r="C1" s="684"/>
      <c r="D1" s="684"/>
      <c r="E1" s="684"/>
      <c r="F1" s="684"/>
      <c r="G1" s="684"/>
      <c r="H1" s="684"/>
      <c r="I1" s="684"/>
      <c r="J1" s="684"/>
      <c r="K1" s="684"/>
      <c r="L1" s="684"/>
      <c r="M1" s="684"/>
      <c r="N1" s="684"/>
      <c r="O1" s="684"/>
    </row>
    <row r="2" spans="1:15" ht="6.75" customHeight="1" x14ac:dyDescent="0.25">
      <c r="A2" s="1"/>
      <c r="B2" s="1"/>
      <c r="C2" s="1"/>
      <c r="D2" s="1"/>
      <c r="E2" s="1"/>
      <c r="F2" s="1"/>
      <c r="G2" s="1"/>
      <c r="H2" s="1"/>
      <c r="I2" s="1"/>
      <c r="J2" s="1"/>
      <c r="K2" s="1"/>
      <c r="L2" s="1"/>
      <c r="M2" s="1"/>
      <c r="N2" s="1"/>
      <c r="O2" s="1"/>
    </row>
    <row r="3" spans="1:15" ht="15.75" x14ac:dyDescent="0.25">
      <c r="A3" s="685" t="s">
        <v>1</v>
      </c>
      <c r="B3" s="685"/>
      <c r="C3" s="685"/>
      <c r="D3" s="685"/>
      <c r="E3" s="685"/>
      <c r="F3" s="685"/>
      <c r="G3" s="685"/>
      <c r="H3" s="685"/>
      <c r="I3" s="685"/>
      <c r="J3" s="685"/>
      <c r="K3" s="685"/>
      <c r="L3" s="685"/>
      <c r="M3" s="685"/>
      <c r="N3" s="685"/>
      <c r="O3" s="685"/>
    </row>
    <row r="4" spans="1:15" ht="15.75" x14ac:dyDescent="0.25">
      <c r="A4" s="685" t="s">
        <v>2</v>
      </c>
      <c r="B4" s="685"/>
      <c r="C4" s="685"/>
      <c r="D4" s="685"/>
      <c r="E4" s="685"/>
      <c r="F4" s="685"/>
      <c r="G4" s="685"/>
      <c r="H4" s="685"/>
      <c r="I4" s="685"/>
      <c r="J4" s="685"/>
      <c r="K4" s="685"/>
      <c r="L4" s="685"/>
      <c r="M4" s="685"/>
      <c r="N4" s="685"/>
      <c r="O4" s="685"/>
    </row>
    <row r="5" spans="1:15" ht="6" customHeight="1" x14ac:dyDescent="0.25">
      <c r="A5" s="2"/>
      <c r="B5" s="2"/>
      <c r="C5" s="2"/>
      <c r="D5" s="2"/>
      <c r="E5" s="2"/>
      <c r="F5" s="2"/>
      <c r="G5" s="2"/>
      <c r="H5" s="2"/>
      <c r="I5" s="2"/>
      <c r="J5" s="2"/>
      <c r="K5" s="2"/>
      <c r="L5" s="2"/>
      <c r="M5" s="2"/>
      <c r="N5" s="2"/>
      <c r="O5" s="2"/>
    </row>
    <row r="6" spans="1:15" ht="18" x14ac:dyDescent="0.25">
      <c r="A6" s="686" t="s">
        <v>3</v>
      </c>
      <c r="B6" s="686"/>
      <c r="C6" s="686"/>
      <c r="D6" s="686"/>
      <c r="E6" s="686"/>
      <c r="F6" s="686"/>
      <c r="G6" s="686"/>
      <c r="H6" s="686"/>
      <c r="I6" s="686"/>
      <c r="J6" s="686"/>
      <c r="K6" s="686"/>
      <c r="L6" s="686"/>
      <c r="M6" s="686"/>
      <c r="N6" s="686"/>
      <c r="O6" s="686"/>
    </row>
    <row r="7" spans="1:15" ht="8.25" customHeight="1" x14ac:dyDescent="0.25">
      <c r="A7" s="3"/>
      <c r="B7" s="3"/>
      <c r="C7" s="3"/>
      <c r="D7" s="3"/>
      <c r="E7" s="3"/>
      <c r="F7" s="3"/>
      <c r="G7" s="3"/>
      <c r="H7" s="3"/>
      <c r="I7" s="3"/>
      <c r="J7" s="3"/>
      <c r="K7" s="3"/>
      <c r="L7" s="3"/>
      <c r="M7" s="3"/>
      <c r="N7" s="3"/>
      <c r="O7" s="3"/>
    </row>
    <row r="8" spans="1:15" ht="18" customHeight="1" x14ac:dyDescent="0.25">
      <c r="A8" s="687" t="s">
        <v>4</v>
      </c>
      <c r="B8" s="687"/>
      <c r="C8" s="687"/>
      <c r="D8" s="687"/>
      <c r="E8" s="687"/>
      <c r="F8" s="687"/>
      <c r="G8" s="687"/>
      <c r="H8" s="687"/>
      <c r="I8" s="687"/>
      <c r="J8" s="687"/>
      <c r="K8" s="687"/>
      <c r="L8" s="687"/>
      <c r="M8" s="687"/>
      <c r="N8" s="687"/>
      <c r="O8" s="4"/>
    </row>
    <row r="9" spans="1:15" ht="18" customHeight="1" x14ac:dyDescent="0.25">
      <c r="A9" s="687"/>
      <c r="B9" s="687"/>
      <c r="C9" s="687"/>
      <c r="D9" s="687"/>
      <c r="E9" s="687"/>
      <c r="F9" s="687"/>
      <c r="G9" s="687"/>
      <c r="H9" s="687"/>
      <c r="I9" s="687"/>
      <c r="J9" s="687"/>
      <c r="K9" s="687"/>
      <c r="L9" s="687"/>
      <c r="M9" s="687"/>
      <c r="N9" s="687"/>
      <c r="O9" s="4"/>
    </row>
    <row r="10" spans="1:15" ht="18" customHeight="1" x14ac:dyDescent="0.25">
      <c r="A10" s="4"/>
      <c r="B10" s="4"/>
      <c r="C10" s="4"/>
      <c r="D10" s="4"/>
      <c r="E10" s="4"/>
      <c r="F10" s="4"/>
      <c r="G10" s="4"/>
      <c r="H10" s="4"/>
      <c r="I10" s="4"/>
      <c r="J10" s="4"/>
      <c r="K10" s="4"/>
      <c r="L10" s="4"/>
      <c r="M10" s="4"/>
      <c r="N10" s="4"/>
      <c r="O10" s="4"/>
    </row>
    <row r="11" spans="1:15" ht="18" customHeight="1" x14ac:dyDescent="0.25">
      <c r="A11" s="688" t="s">
        <v>138</v>
      </c>
      <c r="B11" s="688"/>
      <c r="C11" s="688"/>
      <c r="D11" s="688"/>
      <c r="E11" s="688"/>
      <c r="F11" s="688"/>
      <c r="G11" s="688"/>
      <c r="H11" s="688"/>
      <c r="I11" s="688"/>
      <c r="J11" s="688"/>
      <c r="K11" s="688"/>
      <c r="L11" s="688"/>
      <c r="M11" s="688"/>
      <c r="N11" s="688"/>
      <c r="O11" s="62"/>
    </row>
    <row r="12" spans="1:15" x14ac:dyDescent="0.25">
      <c r="A12" s="5"/>
      <c r="B12" s="5"/>
      <c r="C12" s="5"/>
      <c r="D12" s="5"/>
      <c r="E12" s="5"/>
      <c r="F12" s="5"/>
      <c r="G12" s="5"/>
      <c r="H12" s="5"/>
      <c r="I12" s="5"/>
      <c r="J12" s="5"/>
      <c r="K12" s="5"/>
      <c r="L12" s="5"/>
      <c r="M12" s="5"/>
      <c r="N12" s="5"/>
      <c r="O12" s="5"/>
    </row>
    <row r="13" spans="1:15" x14ac:dyDescent="0.25">
      <c r="A13" s="6"/>
      <c r="B13" s="6"/>
      <c r="C13" s="6"/>
      <c r="D13" s="6"/>
      <c r="E13" s="6"/>
      <c r="F13" s="6"/>
      <c r="G13" s="6"/>
      <c r="H13" s="6"/>
      <c r="I13" s="6"/>
      <c r="J13" s="6"/>
      <c r="K13" s="6"/>
      <c r="L13" s="6"/>
      <c r="M13" s="6"/>
      <c r="N13" s="6"/>
      <c r="O13" s="5"/>
    </row>
    <row r="14" spans="1:15" ht="15.75" customHeight="1" thickBot="1" x14ac:dyDescent="0.3">
      <c r="A14" s="698" t="s">
        <v>5</v>
      </c>
      <c r="B14" s="698"/>
      <c r="C14" s="698"/>
      <c r="D14" s="698"/>
      <c r="E14" s="698"/>
      <c r="F14" s="698"/>
      <c r="G14" s="698"/>
      <c r="H14" s="698"/>
      <c r="I14" s="698"/>
      <c r="J14" s="698"/>
      <c r="K14" s="698"/>
      <c r="L14" s="698"/>
      <c r="M14" s="698"/>
      <c r="N14" s="698"/>
      <c r="O14" s="698"/>
    </row>
    <row r="15" spans="1:15" ht="27" customHeight="1" thickBot="1" x14ac:dyDescent="0.3">
      <c r="A15" s="699" t="s">
        <v>6</v>
      </c>
      <c r="B15" s="702" t="s">
        <v>7</v>
      </c>
      <c r="C15" s="703"/>
      <c r="D15" s="689" t="s">
        <v>8</v>
      </c>
      <c r="E15" s="689" t="s">
        <v>9</v>
      </c>
      <c r="F15" s="689" t="s">
        <v>10</v>
      </c>
      <c r="G15" s="689" t="s">
        <v>11</v>
      </c>
      <c r="H15" s="702" t="s">
        <v>12</v>
      </c>
      <c r="I15" s="703"/>
      <c r="J15" s="689" t="s">
        <v>60</v>
      </c>
      <c r="K15" s="79"/>
      <c r="L15" s="79"/>
      <c r="M15" s="689" t="s">
        <v>13</v>
      </c>
      <c r="N15" s="689" t="s">
        <v>14</v>
      </c>
      <c r="O15" s="691" t="s">
        <v>15</v>
      </c>
    </row>
    <row r="16" spans="1:15" ht="15.75" thickBot="1" x14ac:dyDescent="0.3">
      <c r="A16" s="700"/>
      <c r="B16" s="704"/>
      <c r="C16" s="705"/>
      <c r="D16" s="690"/>
      <c r="E16" s="690"/>
      <c r="F16" s="690"/>
      <c r="G16" s="706"/>
      <c r="H16" s="63" t="s">
        <v>16</v>
      </c>
      <c r="I16" s="689" t="s">
        <v>17</v>
      </c>
      <c r="J16" s="707"/>
      <c r="K16" s="82"/>
      <c r="L16" s="82"/>
      <c r="M16" s="707"/>
      <c r="N16" s="690"/>
      <c r="O16" s="692"/>
    </row>
    <row r="17" spans="1:19" ht="26.25" customHeight="1" x14ac:dyDescent="0.25">
      <c r="A17" s="701"/>
      <c r="B17" s="79" t="s">
        <v>18</v>
      </c>
      <c r="C17" s="81" t="s">
        <v>19</v>
      </c>
      <c r="D17" s="690"/>
      <c r="E17" s="690"/>
      <c r="F17" s="690"/>
      <c r="G17" s="706"/>
      <c r="H17" s="64" t="s">
        <v>20</v>
      </c>
      <c r="I17" s="690"/>
      <c r="J17" s="707"/>
      <c r="K17" s="80" t="s">
        <v>21</v>
      </c>
      <c r="L17" s="80" t="s">
        <v>22</v>
      </c>
      <c r="M17" s="707"/>
      <c r="N17" s="690"/>
      <c r="O17" s="693"/>
    </row>
    <row r="18" spans="1:19" ht="78.75" x14ac:dyDescent="0.25">
      <c r="A18" s="239">
        <v>1</v>
      </c>
      <c r="B18" s="95" t="s">
        <v>61</v>
      </c>
      <c r="C18" s="447" t="s">
        <v>155</v>
      </c>
      <c r="D18" s="95" t="s">
        <v>23</v>
      </c>
      <c r="E18" s="201">
        <v>45483</v>
      </c>
      <c r="F18" s="207" t="s">
        <v>66</v>
      </c>
      <c r="G18" s="197">
        <v>8</v>
      </c>
      <c r="H18" s="197"/>
      <c r="I18" s="197"/>
      <c r="J18" s="198">
        <v>500000</v>
      </c>
      <c r="K18" s="198">
        <v>2600</v>
      </c>
      <c r="L18" s="198">
        <v>6250</v>
      </c>
      <c r="M18" s="198"/>
      <c r="N18" s="198">
        <v>10414.040000000001</v>
      </c>
      <c r="O18" s="198">
        <f>SUM(M18+N18)</f>
        <v>10414.040000000001</v>
      </c>
      <c r="Q18" s="19"/>
      <c r="S18" s="19"/>
    </row>
    <row r="19" spans="1:19" ht="63" x14ac:dyDescent="0.25">
      <c r="A19" s="239">
        <v>0</v>
      </c>
      <c r="B19" s="95"/>
      <c r="C19" s="447" t="s">
        <v>156</v>
      </c>
      <c r="D19" s="95" t="s">
        <v>23</v>
      </c>
      <c r="E19" s="201">
        <v>45484</v>
      </c>
      <c r="F19" s="207" t="s">
        <v>101</v>
      </c>
      <c r="G19" s="197">
        <v>8</v>
      </c>
      <c r="H19" s="197"/>
      <c r="I19" s="197"/>
      <c r="J19" s="198"/>
      <c r="K19" s="198">
        <v>2600</v>
      </c>
      <c r="L19" s="198">
        <v>6250</v>
      </c>
      <c r="M19" s="198"/>
      <c r="N19" s="198"/>
      <c r="O19" s="198">
        <f>SUM(M19+N19)</f>
        <v>0</v>
      </c>
      <c r="Q19" s="19"/>
      <c r="S19" s="19"/>
    </row>
    <row r="20" spans="1:19" ht="28.5" hidden="1" x14ac:dyDescent="0.25">
      <c r="A20" s="239">
        <v>0</v>
      </c>
      <c r="B20" s="95" t="s">
        <v>79</v>
      </c>
      <c r="C20" s="206" t="s">
        <v>80</v>
      </c>
      <c r="D20" s="95" t="s">
        <v>23</v>
      </c>
      <c r="E20" s="201">
        <v>45293</v>
      </c>
      <c r="F20" s="207" t="s">
        <v>38</v>
      </c>
      <c r="G20" s="197"/>
      <c r="H20" s="197"/>
      <c r="I20" s="197"/>
      <c r="J20" s="198"/>
      <c r="K20" s="198"/>
      <c r="L20" s="198"/>
      <c r="M20" s="198">
        <v>0</v>
      </c>
      <c r="N20" s="198">
        <v>0</v>
      </c>
      <c r="O20" s="198">
        <f t="shared" ref="O20" si="0">SUM(M20+N20)</f>
        <v>0</v>
      </c>
    </row>
    <row r="21" spans="1:19" ht="42.75" x14ac:dyDescent="0.25">
      <c r="A21" s="239">
        <v>0</v>
      </c>
      <c r="B21" s="95" t="s">
        <v>62</v>
      </c>
      <c r="C21" s="206" t="s">
        <v>158</v>
      </c>
      <c r="D21" s="95" t="s">
        <v>23</v>
      </c>
      <c r="E21" s="201" t="s">
        <v>85</v>
      </c>
      <c r="F21" s="207" t="s">
        <v>66</v>
      </c>
      <c r="G21" s="197">
        <v>8</v>
      </c>
      <c r="H21" s="197"/>
      <c r="I21" s="197"/>
      <c r="J21" s="108"/>
      <c r="K21" s="198">
        <v>2600</v>
      </c>
      <c r="L21" s="198">
        <v>6250</v>
      </c>
      <c r="M21" s="198"/>
      <c r="N21" s="198">
        <v>11215.12</v>
      </c>
      <c r="O21" s="198">
        <f>SUM(M21+N21)</f>
        <v>11215.12</v>
      </c>
    </row>
    <row r="22" spans="1:19" ht="57" x14ac:dyDescent="0.25">
      <c r="A22" s="239">
        <v>1</v>
      </c>
      <c r="B22" s="95" t="s">
        <v>61</v>
      </c>
      <c r="C22" s="206" t="s">
        <v>157</v>
      </c>
      <c r="D22" s="95" t="s">
        <v>23</v>
      </c>
      <c r="E22" s="201">
        <v>45498</v>
      </c>
      <c r="F22" s="207" t="s">
        <v>233</v>
      </c>
      <c r="G22" s="197">
        <v>8</v>
      </c>
      <c r="H22" s="197"/>
      <c r="I22" s="197"/>
      <c r="J22" s="198">
        <v>535000</v>
      </c>
      <c r="K22" s="198">
        <v>2600</v>
      </c>
      <c r="L22" s="198">
        <v>6250</v>
      </c>
      <c r="M22" s="198"/>
      <c r="N22" s="198">
        <v>11215.12</v>
      </c>
      <c r="O22" s="198">
        <f>SUM(M22+N22)</f>
        <v>11215.12</v>
      </c>
    </row>
    <row r="23" spans="1:19" ht="15.75" customHeight="1" thickBot="1" x14ac:dyDescent="0.3">
      <c r="A23" s="104">
        <f>SUM(A18:A22)</f>
        <v>2</v>
      </c>
      <c r="B23" s="694" t="s">
        <v>24</v>
      </c>
      <c r="C23" s="694"/>
      <c r="D23" s="694"/>
      <c r="E23" s="694"/>
      <c r="F23" s="694"/>
      <c r="G23" s="105">
        <f>SUM(G18:G22)</f>
        <v>32</v>
      </c>
      <c r="H23" s="105">
        <f>SUM(H18:H22)</f>
        <v>0</v>
      </c>
      <c r="I23" s="105">
        <f>SUM(I20:I22)</f>
        <v>0</v>
      </c>
      <c r="J23" s="105">
        <f>SUM(J20:J22)</f>
        <v>535000</v>
      </c>
      <c r="K23" s="105">
        <f>SUM(K18:K22)</f>
        <v>10400</v>
      </c>
      <c r="L23" s="105">
        <f>SUM(L18:L22)</f>
        <v>25000</v>
      </c>
      <c r="M23" s="105">
        <f>SUM(M18:M22)</f>
        <v>0</v>
      </c>
      <c r="N23" s="105">
        <f>SUM(N18:N22)</f>
        <v>32844.280000000006</v>
      </c>
      <c r="O23" s="105">
        <f>SUM(O18:O22)</f>
        <v>32844.280000000006</v>
      </c>
      <c r="P23" s="7"/>
    </row>
    <row r="24" spans="1:19" ht="15.75" customHeight="1" thickBot="1" x14ac:dyDescent="0.3">
      <c r="A24" s="695" t="s">
        <v>25</v>
      </c>
      <c r="B24" s="696"/>
      <c r="C24" s="696"/>
      <c r="D24" s="696"/>
      <c r="E24" s="696"/>
      <c r="F24" s="696"/>
      <c r="G24" s="696"/>
      <c r="H24" s="8"/>
      <c r="I24" s="8"/>
      <c r="J24" s="9"/>
      <c r="K24" s="9"/>
      <c r="L24" s="9"/>
      <c r="M24" s="10">
        <v>0</v>
      </c>
      <c r="N24" s="10">
        <f>N23*-0.1</f>
        <v>-3284.4280000000008</v>
      </c>
      <c r="O24" s="11">
        <f>N24</f>
        <v>-3284.4280000000008</v>
      </c>
    </row>
    <row r="25" spans="1:19" ht="15.75" customHeight="1" thickBot="1" x14ac:dyDescent="0.3">
      <c r="A25" s="697" t="s">
        <v>26</v>
      </c>
      <c r="B25" s="697"/>
      <c r="C25" s="697"/>
      <c r="D25" s="697"/>
      <c r="E25" s="697"/>
      <c r="F25" s="697"/>
      <c r="G25" s="697"/>
      <c r="H25" s="12"/>
      <c r="I25" s="12"/>
      <c r="J25" s="13"/>
      <c r="K25" s="13"/>
      <c r="L25" s="13"/>
      <c r="M25" s="10">
        <f>+M23+M24</f>
        <v>0</v>
      </c>
      <c r="N25" s="10">
        <f>+N23+N24</f>
        <v>29559.852000000006</v>
      </c>
      <c r="O25" s="11">
        <f>+O23+O24</f>
        <v>29559.852000000006</v>
      </c>
    </row>
    <row r="26" spans="1:19" x14ac:dyDescent="0.25">
      <c r="A26" s="14"/>
      <c r="B26" s="14"/>
      <c r="C26" s="14"/>
      <c r="D26" s="14"/>
      <c r="E26" s="14"/>
      <c r="F26" s="14"/>
      <c r="G26" s="14"/>
      <c r="H26" s="15"/>
      <c r="I26" s="15"/>
      <c r="J26" s="16"/>
      <c r="K26" s="16"/>
      <c r="L26" s="16"/>
      <c r="M26" s="16"/>
      <c r="N26" s="16"/>
      <c r="O26" s="17"/>
    </row>
    <row r="27" spans="1:19" ht="16.5" customHeight="1" thickBot="1" x14ac:dyDescent="0.3">
      <c r="A27" s="711" t="s">
        <v>27</v>
      </c>
      <c r="B27" s="711"/>
      <c r="C27" s="711"/>
      <c r="D27" s="711"/>
      <c r="E27" s="711"/>
      <c r="F27" s="711"/>
      <c r="G27" s="711"/>
      <c r="H27" s="711"/>
      <c r="I27" s="711"/>
      <c r="J27" s="711"/>
      <c r="K27" s="711"/>
      <c r="L27" s="711"/>
      <c r="M27" s="711"/>
      <c r="N27" s="18"/>
      <c r="O27" s="18"/>
    </row>
    <row r="28" spans="1:19" ht="23.25" customHeight="1" thickBot="1" x14ac:dyDescent="0.3">
      <c r="A28" s="699" t="s">
        <v>6</v>
      </c>
      <c r="B28" s="702" t="s">
        <v>7</v>
      </c>
      <c r="C28" s="703"/>
      <c r="D28" s="689" t="s">
        <v>8</v>
      </c>
      <c r="E28" s="689" t="s">
        <v>9</v>
      </c>
      <c r="F28" s="689" t="s">
        <v>10</v>
      </c>
      <c r="G28" s="689" t="s">
        <v>28</v>
      </c>
      <c r="H28" s="702" t="s">
        <v>12</v>
      </c>
      <c r="I28" s="703"/>
      <c r="J28" s="689" t="s">
        <v>60</v>
      </c>
      <c r="K28" s="79"/>
      <c r="L28" s="79"/>
      <c r="M28" s="689" t="s">
        <v>13</v>
      </c>
      <c r="N28" s="689" t="s">
        <v>14</v>
      </c>
      <c r="O28" s="691" t="s">
        <v>15</v>
      </c>
    </row>
    <row r="29" spans="1:19" ht="0.75" customHeight="1" thickBot="1" x14ac:dyDescent="0.3">
      <c r="A29" s="700"/>
      <c r="B29" s="704"/>
      <c r="C29" s="705"/>
      <c r="D29" s="690"/>
      <c r="E29" s="690"/>
      <c r="F29" s="690"/>
      <c r="G29" s="706"/>
      <c r="H29" s="689" t="s">
        <v>20</v>
      </c>
      <c r="I29" s="689" t="s">
        <v>17</v>
      </c>
      <c r="J29" s="707"/>
      <c r="K29" s="82"/>
      <c r="L29" s="82"/>
      <c r="M29" s="707"/>
      <c r="N29" s="690"/>
      <c r="O29" s="692"/>
    </row>
    <row r="30" spans="1:19" ht="40.5" customHeight="1" x14ac:dyDescent="0.25">
      <c r="A30" s="701"/>
      <c r="B30" s="66" t="s">
        <v>18</v>
      </c>
      <c r="C30" s="81" t="s">
        <v>19</v>
      </c>
      <c r="D30" s="690"/>
      <c r="E30" s="690"/>
      <c r="F30" s="690"/>
      <c r="G30" s="706"/>
      <c r="H30" s="690"/>
      <c r="I30" s="690"/>
      <c r="J30" s="707"/>
      <c r="K30" s="80" t="s">
        <v>21</v>
      </c>
      <c r="L30" s="80" t="s">
        <v>22</v>
      </c>
      <c r="M30" s="712"/>
      <c r="N30" s="690"/>
      <c r="O30" s="693"/>
    </row>
    <row r="31" spans="1:19" ht="61.5" customHeight="1" x14ac:dyDescent="0.25">
      <c r="A31" s="250"/>
      <c r="B31" s="312"/>
      <c r="C31" s="313" t="s">
        <v>159</v>
      </c>
      <c r="D31" s="95" t="s">
        <v>29</v>
      </c>
      <c r="E31" s="314">
        <v>45478</v>
      </c>
      <c r="F31" s="95" t="s">
        <v>132</v>
      </c>
      <c r="G31" s="91">
        <v>8</v>
      </c>
      <c r="H31" s="315"/>
      <c r="I31" s="315"/>
      <c r="J31" s="91"/>
      <c r="K31" s="198">
        <v>1240</v>
      </c>
      <c r="L31" s="316">
        <v>5180</v>
      </c>
      <c r="M31" s="219"/>
      <c r="N31" s="315"/>
      <c r="O31" s="91">
        <f>SUM(M31+N31)</f>
        <v>0</v>
      </c>
    </row>
    <row r="32" spans="1:19" ht="88.5" customHeight="1" x14ac:dyDescent="0.25">
      <c r="A32" s="250">
        <v>1</v>
      </c>
      <c r="B32" s="317" t="s">
        <v>93</v>
      </c>
      <c r="C32" s="313" t="s">
        <v>160</v>
      </c>
      <c r="D32" s="95" t="s">
        <v>29</v>
      </c>
      <c r="E32" s="314">
        <v>45479</v>
      </c>
      <c r="F32" s="95" t="s">
        <v>132</v>
      </c>
      <c r="G32" s="91">
        <v>8</v>
      </c>
      <c r="H32" s="315"/>
      <c r="I32" s="315"/>
      <c r="J32" s="91"/>
      <c r="K32" s="198">
        <v>1860</v>
      </c>
      <c r="L32" s="316">
        <v>7770</v>
      </c>
      <c r="M32" s="91"/>
      <c r="N32" s="91">
        <v>10414.040000000001</v>
      </c>
      <c r="O32" s="91">
        <f t="shared" ref="O32:O41" si="1">SUM(M32+N32)</f>
        <v>10414.040000000001</v>
      </c>
    </row>
    <row r="33" spans="1:18" ht="126" customHeight="1" x14ac:dyDescent="0.25">
      <c r="A33" s="253">
        <v>0</v>
      </c>
      <c r="B33" s="95" t="s">
        <v>93</v>
      </c>
      <c r="C33" s="313" t="s">
        <v>161</v>
      </c>
      <c r="D33" s="95" t="s">
        <v>29</v>
      </c>
      <c r="E33" s="314">
        <v>45480</v>
      </c>
      <c r="F33" s="95" t="s">
        <v>94</v>
      </c>
      <c r="G33" s="95">
        <v>8</v>
      </c>
      <c r="H33" s="95"/>
      <c r="I33" s="95"/>
      <c r="J33" s="95"/>
      <c r="K33" s="198">
        <v>3100</v>
      </c>
      <c r="L33" s="316">
        <v>12950</v>
      </c>
      <c r="M33" s="203"/>
      <c r="N33" s="91">
        <v>10414.040000000001</v>
      </c>
      <c r="O33" s="91">
        <f t="shared" si="1"/>
        <v>10414.040000000001</v>
      </c>
    </row>
    <row r="34" spans="1:18" ht="72" customHeight="1" x14ac:dyDescent="0.25">
      <c r="A34" s="253">
        <v>0</v>
      </c>
      <c r="B34" s="95"/>
      <c r="C34" s="313" t="s">
        <v>162</v>
      </c>
      <c r="D34" s="95" t="s">
        <v>29</v>
      </c>
      <c r="E34" s="314">
        <v>45476</v>
      </c>
      <c r="F34" s="95" t="s">
        <v>114</v>
      </c>
      <c r="G34" s="95">
        <v>8</v>
      </c>
      <c r="H34" s="95"/>
      <c r="I34" s="95"/>
      <c r="J34" s="95"/>
      <c r="K34" s="198">
        <f>6200*0.4</f>
        <v>2480</v>
      </c>
      <c r="L34" s="199">
        <f>+(11650+14250)*0.4</f>
        <v>10360</v>
      </c>
      <c r="M34" s="198"/>
      <c r="N34" s="198">
        <v>0</v>
      </c>
      <c r="O34" s="91">
        <f t="shared" si="1"/>
        <v>0</v>
      </c>
    </row>
    <row r="35" spans="1:18" ht="74.25" customHeight="1" x14ac:dyDescent="0.25">
      <c r="A35" s="250">
        <v>1</v>
      </c>
      <c r="B35" s="317" t="s">
        <v>93</v>
      </c>
      <c r="C35" s="318" t="s">
        <v>165</v>
      </c>
      <c r="D35" s="317" t="s">
        <v>29</v>
      </c>
      <c r="E35" s="319">
        <v>39267</v>
      </c>
      <c r="F35" s="95" t="s">
        <v>94</v>
      </c>
      <c r="G35" s="204">
        <v>8</v>
      </c>
      <c r="H35" s="204"/>
      <c r="I35" s="204"/>
      <c r="J35" s="205">
        <v>1070000</v>
      </c>
      <c r="K35" s="198">
        <f>6200*0.6</f>
        <v>3720</v>
      </c>
      <c r="L35" s="199">
        <f>+(11650+14250)*0.6</f>
        <v>15540</v>
      </c>
      <c r="M35" s="198"/>
      <c r="N35" s="198">
        <v>10141.040000000001</v>
      </c>
      <c r="O35" s="91">
        <f t="shared" si="1"/>
        <v>10141.040000000001</v>
      </c>
      <c r="P35" s="291"/>
    </row>
    <row r="36" spans="1:18" ht="62.25" customHeight="1" x14ac:dyDescent="0.25">
      <c r="A36" s="252">
        <v>1</v>
      </c>
      <c r="B36" s="95" t="s">
        <v>116</v>
      </c>
      <c r="C36" s="320" t="s">
        <v>167</v>
      </c>
      <c r="D36" s="200" t="s">
        <v>29</v>
      </c>
      <c r="E36" s="201" t="s">
        <v>163</v>
      </c>
      <c r="F36" s="95" t="s">
        <v>129</v>
      </c>
      <c r="G36" s="197">
        <v>16</v>
      </c>
      <c r="H36" s="197"/>
      <c r="I36" s="197"/>
      <c r="J36" s="198"/>
      <c r="K36" s="198">
        <v>4500</v>
      </c>
      <c r="L36" s="198">
        <f>14250+11650</f>
        <v>25900</v>
      </c>
      <c r="M36" s="198">
        <f>9191.5+7150.5+6285.08+1587.58</f>
        <v>24214.660000000003</v>
      </c>
      <c r="N36" s="198">
        <v>11215.12</v>
      </c>
      <c r="O36" s="91">
        <f t="shared" si="1"/>
        <v>35429.780000000006</v>
      </c>
    </row>
    <row r="37" spans="1:18" ht="54" customHeight="1" x14ac:dyDescent="0.25">
      <c r="A37" s="252">
        <v>0</v>
      </c>
      <c r="B37" s="95"/>
      <c r="C37" s="321" t="s">
        <v>168</v>
      </c>
      <c r="D37" s="200" t="s">
        <v>29</v>
      </c>
      <c r="E37" s="201">
        <v>45496</v>
      </c>
      <c r="F37" s="95" t="s">
        <v>129</v>
      </c>
      <c r="G37" s="219">
        <v>8</v>
      </c>
      <c r="H37" s="204"/>
      <c r="I37" s="204"/>
      <c r="J37" s="309"/>
      <c r="K37" s="198">
        <v>2000</v>
      </c>
      <c r="L37" s="198">
        <f>(14250+11650)*0.4</f>
        <v>10360</v>
      </c>
      <c r="M37" s="210"/>
      <c r="N37" s="210"/>
      <c r="O37" s="91">
        <f t="shared" si="1"/>
        <v>0</v>
      </c>
      <c r="R37" s="287"/>
    </row>
    <row r="38" spans="1:18" ht="75.75" customHeight="1" x14ac:dyDescent="0.25">
      <c r="A38" s="252">
        <v>0</v>
      </c>
      <c r="B38" s="95"/>
      <c r="C38" s="321" t="s">
        <v>169</v>
      </c>
      <c r="D38" s="200" t="s">
        <v>29</v>
      </c>
      <c r="E38" s="201" t="s">
        <v>164</v>
      </c>
      <c r="F38" s="95" t="s">
        <v>166</v>
      </c>
      <c r="G38" s="219">
        <v>16</v>
      </c>
      <c r="H38" s="204"/>
      <c r="I38" s="204"/>
      <c r="J38" s="309"/>
      <c r="K38" s="198">
        <v>3000</v>
      </c>
      <c r="L38" s="198">
        <f>(14250+11650)*0.6</f>
        <v>15540</v>
      </c>
      <c r="M38" s="199">
        <f>14635.91+20680.98+23402.83+550.83+30645</f>
        <v>89915.55</v>
      </c>
      <c r="N38" s="210"/>
      <c r="O38" s="91">
        <f t="shared" si="1"/>
        <v>89915.55</v>
      </c>
      <c r="P38" s="287"/>
      <c r="Q38" s="289"/>
    </row>
    <row r="39" spans="1:18" ht="74.25" customHeight="1" x14ac:dyDescent="0.25">
      <c r="A39" s="252">
        <v>1</v>
      </c>
      <c r="B39" s="95" t="s">
        <v>30</v>
      </c>
      <c r="C39" s="321" t="s">
        <v>170</v>
      </c>
      <c r="D39" s="200" t="s">
        <v>29</v>
      </c>
      <c r="E39" s="201">
        <v>45501</v>
      </c>
      <c r="F39" s="95" t="s">
        <v>166</v>
      </c>
      <c r="G39" s="219">
        <v>8</v>
      </c>
      <c r="H39" s="204"/>
      <c r="I39" s="204"/>
      <c r="J39" s="309"/>
      <c r="K39" s="198">
        <v>3100</v>
      </c>
      <c r="L39" s="198">
        <v>3900</v>
      </c>
      <c r="M39" s="288"/>
      <c r="N39" s="292"/>
      <c r="O39" s="91">
        <f t="shared" si="1"/>
        <v>0</v>
      </c>
      <c r="P39" s="287"/>
      <c r="Q39" s="289"/>
    </row>
    <row r="40" spans="1:18" ht="70.5" customHeight="1" x14ac:dyDescent="0.25">
      <c r="A40" s="85">
        <v>1</v>
      </c>
      <c r="B40" s="95" t="s">
        <v>30</v>
      </c>
      <c r="C40" s="321" t="s">
        <v>171</v>
      </c>
      <c r="D40" s="200" t="s">
        <v>29</v>
      </c>
      <c r="E40" s="201">
        <v>45503</v>
      </c>
      <c r="F40" s="203" t="s">
        <v>154</v>
      </c>
      <c r="G40" s="219">
        <v>8</v>
      </c>
      <c r="H40" s="204"/>
      <c r="I40" s="204">
        <v>35</v>
      </c>
      <c r="J40" s="309"/>
      <c r="K40" s="198">
        <f>5000*0.5</f>
        <v>2500</v>
      </c>
      <c r="L40" s="198">
        <f>(14250+11650)*0.5</f>
        <v>12950</v>
      </c>
      <c r="M40" s="288"/>
      <c r="N40" s="210">
        <v>11215.12</v>
      </c>
      <c r="O40" s="91">
        <f t="shared" si="1"/>
        <v>11215.12</v>
      </c>
      <c r="P40" s="287"/>
      <c r="Q40" s="289"/>
    </row>
    <row r="41" spans="1:18" ht="60" x14ac:dyDescent="0.25">
      <c r="A41" s="85">
        <v>1</v>
      </c>
      <c r="B41" s="95" t="s">
        <v>30</v>
      </c>
      <c r="C41" s="321" t="s">
        <v>172</v>
      </c>
      <c r="D41" s="200" t="s">
        <v>29</v>
      </c>
      <c r="E41" s="201">
        <v>45504</v>
      </c>
      <c r="F41" s="203" t="s">
        <v>154</v>
      </c>
      <c r="G41" s="204">
        <v>8</v>
      </c>
      <c r="H41" s="204">
        <v>2</v>
      </c>
      <c r="I41" s="204">
        <v>21</v>
      </c>
      <c r="J41" s="205">
        <v>650000</v>
      </c>
      <c r="K41" s="198">
        <f>5000*0.5</f>
        <v>2500</v>
      </c>
      <c r="L41" s="198">
        <f>(14250+11650)*0.5</f>
        <v>12950</v>
      </c>
      <c r="M41" s="205"/>
      <c r="N41" s="210">
        <v>11215.12</v>
      </c>
      <c r="O41" s="91">
        <f t="shared" si="1"/>
        <v>11215.12</v>
      </c>
      <c r="P41" s="290"/>
      <c r="Q41" s="19"/>
      <c r="R41" s="19"/>
    </row>
    <row r="42" spans="1:18" ht="78" hidden="1" customHeight="1" x14ac:dyDescent="0.25">
      <c r="A42" s="85"/>
      <c r="B42" s="95" t="s">
        <v>116</v>
      </c>
      <c r="C42" s="151" t="s">
        <v>117</v>
      </c>
      <c r="D42" s="200" t="s">
        <v>29</v>
      </c>
      <c r="E42" s="201">
        <v>45400</v>
      </c>
      <c r="F42" s="95" t="s">
        <v>113</v>
      </c>
      <c r="G42" s="197"/>
      <c r="H42" s="197"/>
      <c r="I42" s="197"/>
      <c r="J42" s="198">
        <v>600000</v>
      </c>
      <c r="K42" s="198"/>
      <c r="L42" s="202"/>
      <c r="M42" s="198"/>
      <c r="N42" s="198"/>
      <c r="O42" s="251">
        <f>SUM(M42:N42)</f>
        <v>0</v>
      </c>
      <c r="P42" s="19"/>
    </row>
    <row r="43" spans="1:18" x14ac:dyDescent="0.25">
      <c r="A43" s="85">
        <f>SUM(A31:A42)</f>
        <v>6</v>
      </c>
      <c r="B43" s="708" t="s">
        <v>24</v>
      </c>
      <c r="C43" s="708"/>
      <c r="D43" s="708"/>
      <c r="E43" s="708"/>
      <c r="F43" s="708"/>
      <c r="G43" s="83">
        <f>SUM(G31:G42)</f>
        <v>104</v>
      </c>
      <c r="H43" s="83">
        <f>SUM(H31:H42)</f>
        <v>2</v>
      </c>
      <c r="I43" s="83">
        <f>SUM(I31:I42)</f>
        <v>56</v>
      </c>
      <c r="J43" s="56">
        <f>SUM(J35:J42)</f>
        <v>2320000</v>
      </c>
      <c r="K43" s="56">
        <f>SUM(K31:K41)</f>
        <v>30000</v>
      </c>
      <c r="L43" s="56">
        <f>SUM(L31:L42)</f>
        <v>133400</v>
      </c>
      <c r="M43" s="56">
        <f>SUM(M31:M42)</f>
        <v>114130.21</v>
      </c>
      <c r="N43" s="56">
        <f>SUM(N31:N42)</f>
        <v>64614.48000000001</v>
      </c>
      <c r="O43" s="86">
        <f>SUM(O31:O42)</f>
        <v>178744.69</v>
      </c>
    </row>
    <row r="44" spans="1:18" x14ac:dyDescent="0.25">
      <c r="A44" s="709" t="s">
        <v>25</v>
      </c>
      <c r="B44" s="710"/>
      <c r="C44" s="710"/>
      <c r="D44" s="710"/>
      <c r="E44" s="710"/>
      <c r="F44" s="710"/>
      <c r="G44" s="710"/>
      <c r="H44" s="59"/>
      <c r="I44" s="59"/>
      <c r="J44" s="60"/>
      <c r="K44" s="61"/>
      <c r="L44" s="61"/>
      <c r="M44" s="61">
        <v>0</v>
      </c>
      <c r="N44" s="61">
        <f>0.1*-N43</f>
        <v>-6461.4480000000012</v>
      </c>
      <c r="O44" s="87">
        <f>SUM(N44:N44)</f>
        <v>-6461.4480000000012</v>
      </c>
    </row>
    <row r="45" spans="1:18" ht="15.75" thickBot="1" x14ac:dyDescent="0.3">
      <c r="A45" s="713" t="s">
        <v>31</v>
      </c>
      <c r="B45" s="714"/>
      <c r="C45" s="714"/>
      <c r="D45" s="714"/>
      <c r="E45" s="714"/>
      <c r="F45" s="714"/>
      <c r="G45" s="715"/>
      <c r="H45" s="57"/>
      <c r="I45" s="57"/>
      <c r="J45" s="54"/>
      <c r="K45" s="55"/>
      <c r="L45" s="55"/>
      <c r="M45" s="55">
        <f>SUM(M43:M44)</f>
        <v>114130.21</v>
      </c>
      <c r="N45" s="58">
        <f>+N43+N44</f>
        <v>58153.032000000007</v>
      </c>
      <c r="O45" s="58">
        <f>+O43+O44</f>
        <v>172283.242</v>
      </c>
      <c r="Q45" s="7"/>
    </row>
    <row r="46" spans="1:18" x14ac:dyDescent="0.25">
      <c r="A46" s="14"/>
      <c r="B46" s="14"/>
      <c r="C46" s="14"/>
      <c r="D46" s="14"/>
      <c r="E46" s="14"/>
      <c r="F46" s="14"/>
      <c r="G46" s="14"/>
      <c r="H46" s="15"/>
      <c r="I46" s="15"/>
      <c r="J46" s="16"/>
      <c r="K46" s="16"/>
      <c r="L46" s="16"/>
      <c r="M46" s="16"/>
      <c r="N46" s="16"/>
      <c r="O46" s="17"/>
    </row>
    <row r="47" spans="1:18" ht="15.75" customHeight="1" thickBot="1" x14ac:dyDescent="0.3">
      <c r="A47" s="711" t="s">
        <v>32</v>
      </c>
      <c r="B47" s="711"/>
      <c r="C47" s="711"/>
      <c r="D47" s="711"/>
      <c r="E47" s="711"/>
      <c r="F47" s="711"/>
      <c r="G47" s="711"/>
      <c r="H47" s="711"/>
      <c r="I47" s="711"/>
      <c r="J47" s="711"/>
      <c r="K47" s="711"/>
      <c r="L47" s="711"/>
      <c r="M47" s="711"/>
      <c r="N47" s="20"/>
      <c r="O47" s="20"/>
    </row>
    <row r="48" spans="1:18" ht="23.25" customHeight="1" thickBot="1" x14ac:dyDescent="0.3">
      <c r="A48" s="699" t="s">
        <v>6</v>
      </c>
      <c r="B48" s="702" t="s">
        <v>7</v>
      </c>
      <c r="C48" s="703"/>
      <c r="D48" s="689" t="s">
        <v>8</v>
      </c>
      <c r="E48" s="689" t="s">
        <v>9</v>
      </c>
      <c r="F48" s="689" t="s">
        <v>10</v>
      </c>
      <c r="G48" s="689" t="s">
        <v>28</v>
      </c>
      <c r="H48" s="702" t="s">
        <v>12</v>
      </c>
      <c r="I48" s="703"/>
      <c r="J48" s="689" t="s">
        <v>60</v>
      </c>
      <c r="K48" s="79"/>
      <c r="L48" s="79"/>
      <c r="M48" s="689" t="s">
        <v>13</v>
      </c>
      <c r="N48" s="689" t="s">
        <v>14</v>
      </c>
      <c r="O48" s="691" t="s">
        <v>15</v>
      </c>
    </row>
    <row r="49" spans="1:19" ht="2.25" customHeight="1" thickBot="1" x14ac:dyDescent="0.3">
      <c r="A49" s="700"/>
      <c r="B49" s="704"/>
      <c r="C49" s="705"/>
      <c r="D49" s="706"/>
      <c r="E49" s="706"/>
      <c r="F49" s="706"/>
      <c r="G49" s="706"/>
      <c r="H49" s="689" t="s">
        <v>20</v>
      </c>
      <c r="I49" s="689" t="s">
        <v>17</v>
      </c>
      <c r="J49" s="707"/>
      <c r="K49" s="82"/>
      <c r="L49" s="82"/>
      <c r="M49" s="707"/>
      <c r="N49" s="690"/>
      <c r="O49" s="692"/>
    </row>
    <row r="50" spans="1:19" ht="28.5" customHeight="1" x14ac:dyDescent="0.25">
      <c r="A50" s="701"/>
      <c r="B50" s="79" t="s">
        <v>18</v>
      </c>
      <c r="C50" s="81" t="s">
        <v>19</v>
      </c>
      <c r="D50" s="706"/>
      <c r="E50" s="706"/>
      <c r="F50" s="706"/>
      <c r="G50" s="706"/>
      <c r="H50" s="690"/>
      <c r="I50" s="690"/>
      <c r="J50" s="707"/>
      <c r="K50" s="80" t="s">
        <v>21</v>
      </c>
      <c r="L50" s="80" t="s">
        <v>22</v>
      </c>
      <c r="M50" s="707"/>
      <c r="N50" s="690"/>
      <c r="O50" s="693"/>
    </row>
    <row r="51" spans="1:19" ht="38.25" x14ac:dyDescent="0.25">
      <c r="A51" s="111">
        <v>1</v>
      </c>
      <c r="B51" s="91" t="s">
        <v>58</v>
      </c>
      <c r="C51" s="92" t="s">
        <v>147</v>
      </c>
      <c r="D51" s="91" t="s">
        <v>33</v>
      </c>
      <c r="E51" s="93" t="s">
        <v>148</v>
      </c>
      <c r="F51" s="301" t="s">
        <v>59</v>
      </c>
      <c r="G51" s="302">
        <v>8</v>
      </c>
      <c r="H51" s="302"/>
      <c r="I51" s="302"/>
      <c r="J51" s="303">
        <v>370000</v>
      </c>
      <c r="K51" s="304">
        <v>2900</v>
      </c>
      <c r="L51" s="304">
        <v>2750</v>
      </c>
      <c r="M51" s="304">
        <f>21589.84+134992.19+19634.41</f>
        <v>176216.44</v>
      </c>
      <c r="N51" s="305">
        <v>19228.8</v>
      </c>
      <c r="O51" s="306">
        <f>M51+N51</f>
        <v>195445.24</v>
      </c>
      <c r="P51" s="727"/>
      <c r="Q51" s="728"/>
      <c r="R51" s="728"/>
      <c r="S51" s="728"/>
    </row>
    <row r="52" spans="1:19" ht="69" customHeight="1" x14ac:dyDescent="0.25">
      <c r="A52" s="111">
        <v>1</v>
      </c>
      <c r="B52" s="91" t="s">
        <v>58</v>
      </c>
      <c r="C52" s="92" t="s">
        <v>150</v>
      </c>
      <c r="D52" s="91" t="s">
        <v>33</v>
      </c>
      <c r="E52" s="93" t="s">
        <v>149</v>
      </c>
      <c r="F52" s="301" t="s">
        <v>59</v>
      </c>
      <c r="G52" s="197">
        <v>16</v>
      </c>
      <c r="H52" s="197">
        <v>0</v>
      </c>
      <c r="I52" s="197"/>
      <c r="J52" s="198"/>
      <c r="K52" s="307">
        <v>4600</v>
      </c>
      <c r="L52" s="307">
        <v>6750</v>
      </c>
      <c r="M52" s="307">
        <v>0</v>
      </c>
      <c r="N52" s="307"/>
      <c r="O52" s="307">
        <f>SUM(M52:N52)</f>
        <v>0</v>
      </c>
      <c r="P52" s="189"/>
    </row>
    <row r="53" spans="1:19" ht="45" customHeight="1" x14ac:dyDescent="0.25">
      <c r="A53" s="111">
        <v>1</v>
      </c>
      <c r="B53" s="91" t="s">
        <v>58</v>
      </c>
      <c r="C53" s="92" t="s">
        <v>151</v>
      </c>
      <c r="D53" s="91" t="s">
        <v>33</v>
      </c>
      <c r="E53" s="93" t="s">
        <v>152</v>
      </c>
      <c r="F53" s="91" t="s">
        <v>209</v>
      </c>
      <c r="G53" s="308">
        <v>16</v>
      </c>
      <c r="H53" s="308">
        <v>0</v>
      </c>
      <c r="I53" s="308">
        <v>0</v>
      </c>
      <c r="J53" s="309"/>
      <c r="K53" s="310">
        <v>4600</v>
      </c>
      <c r="L53" s="310">
        <v>6750</v>
      </c>
      <c r="M53" s="310">
        <v>0</v>
      </c>
      <c r="N53" s="310">
        <v>0</v>
      </c>
      <c r="O53" s="311">
        <f>M53+N53</f>
        <v>0</v>
      </c>
      <c r="P53" s="188"/>
    </row>
    <row r="54" spans="1:19" ht="20.25" customHeight="1" x14ac:dyDescent="0.25">
      <c r="A54" s="85">
        <f>SUM(A51:A53)</f>
        <v>3</v>
      </c>
      <c r="B54" s="50"/>
      <c r="C54" s="95"/>
      <c r="D54" s="50"/>
      <c r="E54" s="95"/>
      <c r="F54" s="50"/>
      <c r="G54" s="96">
        <f t="shared" ref="G54:K54" si="2">SUM(G51:G53)</f>
        <v>40</v>
      </c>
      <c r="H54" s="97">
        <f t="shared" si="2"/>
        <v>0</v>
      </c>
      <c r="I54" s="97">
        <f t="shared" si="2"/>
        <v>0</v>
      </c>
      <c r="J54" s="97">
        <f t="shared" si="2"/>
        <v>370000</v>
      </c>
      <c r="K54" s="97">
        <f t="shared" si="2"/>
        <v>12100</v>
      </c>
      <c r="L54" s="97">
        <f>SUM(L51:L53)</f>
        <v>16250</v>
      </c>
      <c r="M54" s="97">
        <f>SUM(M51:M53)</f>
        <v>176216.44</v>
      </c>
      <c r="N54" s="97">
        <f>SUM(N51:N53)</f>
        <v>19228.8</v>
      </c>
      <c r="O54" s="86">
        <f>SUM(O51:O53)</f>
        <v>195445.24</v>
      </c>
    </row>
    <row r="55" spans="1:19" ht="13.5" customHeight="1" x14ac:dyDescent="0.25">
      <c r="A55" s="709" t="s">
        <v>25</v>
      </c>
      <c r="B55" s="710"/>
      <c r="C55" s="710"/>
      <c r="D55" s="710"/>
      <c r="E55" s="710"/>
      <c r="F55" s="710"/>
      <c r="G55" s="710"/>
      <c r="H55" s="98"/>
      <c r="I55" s="98"/>
      <c r="J55" s="99"/>
      <c r="K55" s="100"/>
      <c r="L55" s="100"/>
      <c r="M55" s="61">
        <v>0</v>
      </c>
      <c r="N55" s="61">
        <f>-0.1*N54</f>
        <v>-1922.88</v>
      </c>
      <c r="O55" s="87">
        <f>SUM(N55:N55)</f>
        <v>-1922.88</v>
      </c>
    </row>
    <row r="56" spans="1:19" ht="25.5" customHeight="1" thickBot="1" x14ac:dyDescent="0.3">
      <c r="A56" s="713" t="s">
        <v>31</v>
      </c>
      <c r="B56" s="714"/>
      <c r="C56" s="714"/>
      <c r="D56" s="714"/>
      <c r="E56" s="714"/>
      <c r="F56" s="714"/>
      <c r="G56" s="715"/>
      <c r="H56" s="88"/>
      <c r="I56" s="88"/>
      <c r="J56" s="89"/>
      <c r="K56" s="90"/>
      <c r="L56" s="90"/>
      <c r="M56" s="55">
        <f>SUM(M54:M55)</f>
        <v>176216.44</v>
      </c>
      <c r="N56" s="58">
        <f>+N54+N55</f>
        <v>17305.919999999998</v>
      </c>
      <c r="O56" s="58">
        <f>+O54+O55</f>
        <v>193522.36</v>
      </c>
    </row>
    <row r="57" spans="1:19" ht="14.25" customHeight="1" x14ac:dyDescent="0.25">
      <c r="A57" s="21"/>
      <c r="B57" s="21"/>
      <c r="C57" s="21"/>
      <c r="D57" s="21"/>
      <c r="E57" s="21"/>
      <c r="F57" s="21"/>
      <c r="G57" s="21"/>
      <c r="H57" s="15"/>
      <c r="I57" s="15"/>
      <c r="J57" s="16"/>
      <c r="K57" s="16"/>
      <c r="L57" s="16"/>
      <c r="M57" s="22"/>
      <c r="N57" s="22"/>
      <c r="O57" s="22"/>
    </row>
    <row r="58" spans="1:19" x14ac:dyDescent="0.25">
      <c r="A58" s="21"/>
      <c r="B58" s="21"/>
      <c r="C58" s="21"/>
      <c r="D58" s="21"/>
      <c r="E58" s="21"/>
      <c r="F58" s="21"/>
      <c r="G58" s="21"/>
      <c r="H58" s="23"/>
      <c r="I58" s="23"/>
      <c r="J58" s="22"/>
      <c r="K58" s="22"/>
      <c r="L58" s="22"/>
      <c r="M58" s="22"/>
      <c r="N58" s="22"/>
      <c r="O58" s="24"/>
    </row>
    <row r="59" spans="1:19" ht="15.75" thickBot="1" x14ac:dyDescent="0.3">
      <c r="A59" s="698" t="s">
        <v>34</v>
      </c>
      <c r="B59" s="698"/>
      <c r="C59" s="698"/>
      <c r="D59" s="698"/>
      <c r="E59" s="698"/>
      <c r="F59" s="698"/>
      <c r="G59" s="698"/>
      <c r="H59" s="698"/>
      <c r="I59" s="698"/>
      <c r="J59" s="698"/>
      <c r="K59" s="698"/>
      <c r="L59" s="698"/>
      <c r="M59" s="698"/>
      <c r="N59" s="698"/>
      <c r="O59" s="698"/>
    </row>
    <row r="60" spans="1:19" ht="24.75" customHeight="1" thickBot="1" x14ac:dyDescent="0.3">
      <c r="A60" s="699" t="s">
        <v>6</v>
      </c>
      <c r="B60" s="702" t="s">
        <v>7</v>
      </c>
      <c r="C60" s="703"/>
      <c r="D60" s="689" t="s">
        <v>8</v>
      </c>
      <c r="E60" s="689" t="s">
        <v>9</v>
      </c>
      <c r="F60" s="689" t="s">
        <v>10</v>
      </c>
      <c r="G60" s="689" t="s">
        <v>35</v>
      </c>
      <c r="H60" s="702" t="s">
        <v>12</v>
      </c>
      <c r="I60" s="703"/>
      <c r="J60" s="689" t="s">
        <v>60</v>
      </c>
      <c r="K60" s="79"/>
      <c r="L60" s="79"/>
      <c r="M60" s="689" t="s">
        <v>13</v>
      </c>
      <c r="N60" s="689" t="s">
        <v>14</v>
      </c>
      <c r="O60" s="691" t="s">
        <v>36</v>
      </c>
    </row>
    <row r="61" spans="1:19" ht="15.75" thickBot="1" x14ac:dyDescent="0.3">
      <c r="A61" s="700"/>
      <c r="B61" s="704"/>
      <c r="C61" s="705"/>
      <c r="D61" s="690"/>
      <c r="E61" s="690"/>
      <c r="F61" s="690"/>
      <c r="G61" s="706"/>
      <c r="H61" s="689" t="s">
        <v>20</v>
      </c>
      <c r="I61" s="689" t="s">
        <v>17</v>
      </c>
      <c r="J61" s="707"/>
      <c r="K61" s="82"/>
      <c r="L61" s="82"/>
      <c r="M61" s="707"/>
      <c r="N61" s="690"/>
      <c r="O61" s="692"/>
    </row>
    <row r="62" spans="1:19" ht="27.75" customHeight="1" thickBot="1" x14ac:dyDescent="0.3">
      <c r="A62" s="700"/>
      <c r="B62" s="79" t="s">
        <v>18</v>
      </c>
      <c r="C62" s="81" t="s">
        <v>19</v>
      </c>
      <c r="D62" s="690"/>
      <c r="E62" s="690"/>
      <c r="F62" s="690"/>
      <c r="G62" s="706"/>
      <c r="H62" s="690"/>
      <c r="I62" s="690"/>
      <c r="J62" s="707"/>
      <c r="K62" s="80" t="s">
        <v>21</v>
      </c>
      <c r="L62" s="80" t="s">
        <v>22</v>
      </c>
      <c r="M62" s="707"/>
      <c r="N62" s="690"/>
      <c r="O62" s="693"/>
    </row>
    <row r="63" spans="1:19" ht="43.5" hidden="1" thickBot="1" x14ac:dyDescent="0.3">
      <c r="A63" s="101">
        <v>0</v>
      </c>
      <c r="B63" s="50" t="s">
        <v>69</v>
      </c>
      <c r="C63" s="50" t="s">
        <v>72</v>
      </c>
      <c r="D63" s="50" t="s">
        <v>37</v>
      </c>
      <c r="E63" s="50" t="s">
        <v>70</v>
      </c>
      <c r="F63" s="50" t="s">
        <v>39</v>
      </c>
      <c r="G63" s="52">
        <v>0</v>
      </c>
      <c r="H63" s="52"/>
      <c r="I63" s="52"/>
      <c r="J63" s="53">
        <v>250000</v>
      </c>
      <c r="K63" s="53">
        <v>0</v>
      </c>
      <c r="L63" s="53">
        <v>0</v>
      </c>
      <c r="M63" s="53"/>
      <c r="N63" s="53">
        <v>0</v>
      </c>
      <c r="O63" s="110">
        <f t="shared" ref="O63:O65" si="3">SUM(M63:N63)</f>
        <v>0</v>
      </c>
    </row>
    <row r="64" spans="1:19" ht="78" hidden="1" customHeight="1" thickBot="1" x14ac:dyDescent="0.3">
      <c r="A64" s="101">
        <v>0</v>
      </c>
      <c r="B64" s="50" t="s">
        <v>30</v>
      </c>
      <c r="C64" s="103" t="s">
        <v>73</v>
      </c>
      <c r="D64" s="50" t="s">
        <v>37</v>
      </c>
      <c r="E64" s="50" t="s">
        <v>71</v>
      </c>
      <c r="F64" s="50" t="s">
        <v>40</v>
      </c>
      <c r="G64" s="52">
        <v>0</v>
      </c>
      <c r="H64" s="52"/>
      <c r="I64" s="52"/>
      <c r="J64" s="53">
        <v>300000</v>
      </c>
      <c r="K64" s="53">
        <v>0</v>
      </c>
      <c r="L64" s="53">
        <v>0</v>
      </c>
      <c r="M64" s="53"/>
      <c r="N64" s="53">
        <v>0</v>
      </c>
      <c r="O64" s="110">
        <f t="shared" si="3"/>
        <v>0</v>
      </c>
      <c r="P64" s="19"/>
    </row>
    <row r="65" spans="1:21" ht="57.75" hidden="1" customHeight="1" thickBot="1" x14ac:dyDescent="0.3">
      <c r="A65" s="101">
        <v>0</v>
      </c>
      <c r="B65" s="50" t="s">
        <v>78</v>
      </c>
      <c r="C65" s="50" t="s">
        <v>77</v>
      </c>
      <c r="D65" s="50" t="s">
        <v>37</v>
      </c>
      <c r="E65" s="84" t="s">
        <v>76</v>
      </c>
      <c r="F65" s="50" t="s">
        <v>74</v>
      </c>
      <c r="G65" s="52">
        <v>0</v>
      </c>
      <c r="H65" s="52"/>
      <c r="I65" s="52"/>
      <c r="J65" s="53">
        <v>0</v>
      </c>
      <c r="K65" s="53">
        <v>0</v>
      </c>
      <c r="L65" s="53">
        <v>0</v>
      </c>
      <c r="M65" s="53"/>
      <c r="N65" s="53">
        <v>0</v>
      </c>
      <c r="O65" s="110">
        <f t="shared" si="3"/>
        <v>0</v>
      </c>
      <c r="P65" s="19"/>
    </row>
    <row r="66" spans="1:21" ht="72.75" customHeight="1" thickBot="1" x14ac:dyDescent="0.3">
      <c r="A66" s="65">
        <v>1</v>
      </c>
      <c r="B66" s="211" t="s">
        <v>30</v>
      </c>
      <c r="C66" s="95" t="s">
        <v>153</v>
      </c>
      <c r="D66" s="95" t="s">
        <v>37</v>
      </c>
      <c r="E66" s="201">
        <v>45498</v>
      </c>
      <c r="F66" s="95" t="s">
        <v>40</v>
      </c>
      <c r="G66" s="197">
        <v>8</v>
      </c>
      <c r="H66" s="197"/>
      <c r="I66" s="197"/>
      <c r="J66" s="198">
        <v>300000</v>
      </c>
      <c r="K66" s="198">
        <v>3100</v>
      </c>
      <c r="L66" s="198">
        <v>2887.5</v>
      </c>
      <c r="M66" s="198">
        <v>1822.73</v>
      </c>
      <c r="N66" s="198">
        <v>11815</v>
      </c>
      <c r="O66" s="208">
        <f>SUM(M66:N66)</f>
        <v>13637.73</v>
      </c>
      <c r="P66" s="19"/>
    </row>
    <row r="67" spans="1:21" ht="82.5" hidden="1" customHeight="1" thickBot="1" x14ac:dyDescent="0.3">
      <c r="A67" s="65"/>
      <c r="B67" s="211" t="s">
        <v>30</v>
      </c>
      <c r="C67" s="95" t="s">
        <v>120</v>
      </c>
      <c r="D67" s="95" t="s">
        <v>37</v>
      </c>
      <c r="E67" s="201" t="s">
        <v>119</v>
      </c>
      <c r="F67" s="95" t="s">
        <v>40</v>
      </c>
      <c r="G67" s="197"/>
      <c r="H67" s="197"/>
      <c r="I67" s="197"/>
      <c r="J67" s="198"/>
      <c r="K67" s="198"/>
      <c r="L67" s="198"/>
      <c r="M67" s="198"/>
      <c r="N67" s="198"/>
      <c r="O67" s="208">
        <f>SUM(M67:N67)</f>
        <v>0</v>
      </c>
      <c r="P67" s="19"/>
    </row>
    <row r="68" spans="1:21" ht="18.75" customHeight="1" thickBot="1" x14ac:dyDescent="0.3">
      <c r="A68" s="65">
        <f>SUM(A63:A67)</f>
        <v>1</v>
      </c>
      <c r="B68" s="694" t="s">
        <v>24</v>
      </c>
      <c r="C68" s="694"/>
      <c r="D68" s="694"/>
      <c r="E68" s="694"/>
      <c r="F68" s="694"/>
      <c r="G68" s="102">
        <f>SUM(G63:G67)</f>
        <v>8</v>
      </c>
      <c r="H68" s="102">
        <f t="shared" ref="H68:N68" si="4">SUM(H63:H67)</f>
        <v>0</v>
      </c>
      <c r="I68" s="102">
        <f t="shared" si="4"/>
        <v>0</v>
      </c>
      <c r="J68" s="102">
        <f t="shared" si="4"/>
        <v>850000</v>
      </c>
      <c r="K68" s="102">
        <f t="shared" si="4"/>
        <v>3100</v>
      </c>
      <c r="L68" s="102">
        <f t="shared" si="4"/>
        <v>2887.5</v>
      </c>
      <c r="M68" s="102">
        <f t="shared" si="4"/>
        <v>1822.73</v>
      </c>
      <c r="N68" s="102">
        <f t="shared" si="4"/>
        <v>11815</v>
      </c>
      <c r="O68" s="102">
        <f>SUM(O63:O67)</f>
        <v>13637.73</v>
      </c>
    </row>
    <row r="69" spans="1:21" ht="15" customHeight="1" thickBot="1" x14ac:dyDescent="0.3">
      <c r="A69" s="695" t="s">
        <v>25</v>
      </c>
      <c r="B69" s="696"/>
      <c r="C69" s="696"/>
      <c r="D69" s="696"/>
      <c r="E69" s="696"/>
      <c r="F69" s="696"/>
      <c r="G69" s="696"/>
      <c r="H69" s="25"/>
      <c r="I69" s="25"/>
      <c r="J69" s="26"/>
      <c r="K69" s="26"/>
      <c r="L69" s="26"/>
      <c r="M69" s="27">
        <v>0</v>
      </c>
      <c r="N69" s="27">
        <f>N68*-0.1</f>
        <v>-1181.5</v>
      </c>
      <c r="O69" s="27">
        <f>N69</f>
        <v>-1181.5</v>
      </c>
    </row>
    <row r="70" spans="1:21" ht="17.25" customHeight="1" thickBot="1" x14ac:dyDescent="0.3">
      <c r="A70" s="697" t="s">
        <v>26</v>
      </c>
      <c r="B70" s="697"/>
      <c r="C70" s="697"/>
      <c r="D70" s="697"/>
      <c r="E70" s="697"/>
      <c r="F70" s="697"/>
      <c r="G70" s="697"/>
      <c r="H70" s="28"/>
      <c r="I70" s="28"/>
      <c r="J70" s="29"/>
      <c r="K70" s="29"/>
      <c r="L70" s="29"/>
      <c r="M70" s="27">
        <f>SUM(M68:M69)</f>
        <v>1822.73</v>
      </c>
      <c r="N70" s="27">
        <f>N68 +(N69)</f>
        <v>10633.5</v>
      </c>
      <c r="O70" s="27">
        <f>O69+O68</f>
        <v>12456.23</v>
      </c>
    </row>
    <row r="71" spans="1:21" ht="17.25" customHeight="1" x14ac:dyDescent="0.25">
      <c r="A71" s="116"/>
      <c r="B71" s="116"/>
      <c r="C71" s="116"/>
      <c r="D71" s="116"/>
      <c r="E71" s="116"/>
      <c r="F71" s="116"/>
      <c r="G71" s="116"/>
      <c r="H71" s="30"/>
      <c r="I71" s="30"/>
      <c r="J71" s="31"/>
      <c r="K71" s="31"/>
      <c r="L71" s="31"/>
      <c r="M71" s="32"/>
      <c r="N71" s="32"/>
      <c r="O71" s="32"/>
      <c r="P71" s="115"/>
      <c r="Q71" s="115"/>
      <c r="R71" s="115"/>
      <c r="S71" s="115"/>
      <c r="T71" s="115"/>
      <c r="U71" s="115"/>
    </row>
    <row r="72" spans="1:21" ht="17.25" customHeight="1" thickBot="1" x14ac:dyDescent="0.3">
      <c r="A72" s="116"/>
      <c r="B72" s="735" t="s">
        <v>83</v>
      </c>
      <c r="C72" s="735"/>
      <c r="D72" s="735"/>
      <c r="E72" s="735"/>
      <c r="F72" s="735"/>
      <c r="G72" s="735"/>
      <c r="H72" s="30"/>
      <c r="I72" s="732" t="s">
        <v>81</v>
      </c>
      <c r="J72" s="733"/>
      <c r="K72" s="733"/>
      <c r="L72" s="733"/>
      <c r="M72" s="733"/>
      <c r="N72" s="733"/>
      <c r="O72" s="32"/>
      <c r="P72" s="195"/>
      <c r="Q72" s="195"/>
      <c r="R72" s="195"/>
      <c r="S72" s="195"/>
      <c r="T72" s="195"/>
      <c r="U72" s="195"/>
    </row>
    <row r="73" spans="1:21" ht="17.25" customHeight="1" thickBot="1" x14ac:dyDescent="0.3">
      <c r="A73" s="23"/>
      <c r="B73" s="736"/>
      <c r="C73" s="736"/>
      <c r="D73" s="736"/>
      <c r="E73" s="736"/>
      <c r="F73" s="736"/>
      <c r="G73" s="736"/>
      <c r="H73" s="30"/>
      <c r="I73" s="30"/>
      <c r="J73" s="31"/>
      <c r="K73" s="31"/>
      <c r="L73" s="31"/>
      <c r="M73" s="32"/>
      <c r="N73" s="32"/>
      <c r="O73" s="32"/>
      <c r="P73" s="680" t="s">
        <v>145</v>
      </c>
      <c r="Q73" s="681"/>
      <c r="R73" s="681"/>
      <c r="S73" s="681"/>
      <c r="T73" s="681"/>
      <c r="U73" s="682"/>
    </row>
    <row r="74" spans="1:21" ht="32.25" thickBot="1" x14ac:dyDescent="0.3">
      <c r="A74" s="716" t="s">
        <v>41</v>
      </c>
      <c r="B74" s="716"/>
      <c r="C74" s="716"/>
      <c r="D74" s="716" t="s">
        <v>141</v>
      </c>
      <c r="E74" s="716"/>
      <c r="F74" s="716" t="s">
        <v>118</v>
      </c>
      <c r="G74" s="716"/>
      <c r="H74" s="30"/>
      <c r="I74" s="67" t="s">
        <v>42</v>
      </c>
      <c r="J74" s="68" t="s">
        <v>43</v>
      </c>
      <c r="K74" s="69" t="s">
        <v>44</v>
      </c>
      <c r="L74" s="69" t="s">
        <v>45</v>
      </c>
      <c r="M74" s="70" t="s">
        <v>46</v>
      </c>
      <c r="N74" s="71" t="s">
        <v>31</v>
      </c>
      <c r="O74" s="32"/>
      <c r="P74" s="190" t="s">
        <v>42</v>
      </c>
      <c r="Q74" s="191" t="s">
        <v>43</v>
      </c>
      <c r="R74" s="192" t="s">
        <v>44</v>
      </c>
      <c r="S74" s="192" t="s">
        <v>45</v>
      </c>
      <c r="T74" s="193" t="s">
        <v>46</v>
      </c>
      <c r="U74" s="194" t="s">
        <v>31</v>
      </c>
    </row>
    <row r="75" spans="1:21" ht="27.75" customHeight="1" thickBot="1" x14ac:dyDescent="0.3">
      <c r="A75" s="719" t="s">
        <v>47</v>
      </c>
      <c r="B75" s="719"/>
      <c r="C75" s="719"/>
      <c r="D75" s="724">
        <v>531432</v>
      </c>
      <c r="E75" s="725"/>
      <c r="F75" s="724">
        <f>F83</f>
        <v>407821.68400000007</v>
      </c>
      <c r="G75" s="725"/>
      <c r="H75" s="30"/>
      <c r="I75" s="72" t="s">
        <v>22</v>
      </c>
      <c r="J75" s="33">
        <f>L23</f>
        <v>25000</v>
      </c>
      <c r="K75" s="33">
        <f>L54</f>
        <v>16250</v>
      </c>
      <c r="L75" s="33">
        <f>L43</f>
        <v>133400</v>
      </c>
      <c r="M75" s="34">
        <f>L68</f>
        <v>2887.5</v>
      </c>
      <c r="N75" s="35">
        <f>SUM(J75:M75)</f>
        <v>177537.5</v>
      </c>
      <c r="O75" s="114"/>
      <c r="P75" s="72" t="s">
        <v>22</v>
      </c>
      <c r="Q75" s="33">
        <v>37500</v>
      </c>
      <c r="R75" s="33">
        <v>6000</v>
      </c>
      <c r="S75" s="33">
        <v>92400</v>
      </c>
      <c r="T75" s="34">
        <v>2887.5</v>
      </c>
      <c r="U75" s="35">
        <v>138787.5</v>
      </c>
    </row>
    <row r="76" spans="1:21" ht="20.100000000000001" customHeight="1" thickBot="1" x14ac:dyDescent="0.3">
      <c r="A76" s="719" t="s">
        <v>48</v>
      </c>
      <c r="B76" s="719"/>
      <c r="C76" s="719"/>
      <c r="D76" s="724">
        <f>3</f>
        <v>3</v>
      </c>
      <c r="E76" s="725"/>
      <c r="F76" s="717">
        <f>A41+A40</f>
        <v>2</v>
      </c>
      <c r="G76" s="718"/>
      <c r="H76" s="113"/>
      <c r="I76" s="73" t="s">
        <v>49</v>
      </c>
      <c r="J76" s="36">
        <f>K23</f>
        <v>10400</v>
      </c>
      <c r="K76" s="33">
        <f>K54</f>
        <v>12100</v>
      </c>
      <c r="L76" s="36">
        <f>K43</f>
        <v>30000</v>
      </c>
      <c r="M76" s="37">
        <f>K68</f>
        <v>3100</v>
      </c>
      <c r="N76" s="38">
        <f t="shared" ref="N76" si="5">SUM(J76:M76)</f>
        <v>55600</v>
      </c>
      <c r="O76" s="114"/>
      <c r="P76" s="73" t="s">
        <v>49</v>
      </c>
      <c r="Q76" s="36">
        <v>16500</v>
      </c>
      <c r="R76" s="33">
        <v>6200</v>
      </c>
      <c r="S76" s="36">
        <v>33200</v>
      </c>
      <c r="T76" s="37">
        <v>3100</v>
      </c>
      <c r="U76" s="38">
        <v>59000</v>
      </c>
    </row>
    <row r="77" spans="1:21" ht="31.5" customHeight="1" thickBot="1" x14ac:dyDescent="0.3">
      <c r="A77" s="749" t="s">
        <v>50</v>
      </c>
      <c r="B77" s="750"/>
      <c r="C77" s="751"/>
      <c r="D77" s="720">
        <v>12</v>
      </c>
      <c r="E77" s="721"/>
      <c r="F77" s="717">
        <f>(A68+A54+A43+A23)</f>
        <v>12</v>
      </c>
      <c r="G77" s="718"/>
      <c r="H77" s="113"/>
      <c r="I77" s="74" t="s">
        <v>51</v>
      </c>
      <c r="J77" s="39">
        <f>O25</f>
        <v>29559.852000000006</v>
      </c>
      <c r="K77" s="39">
        <f>O56</f>
        <v>193522.36</v>
      </c>
      <c r="L77" s="39">
        <f>O45</f>
        <v>172283.242</v>
      </c>
      <c r="M77" s="40">
        <f>O70</f>
        <v>12456.23</v>
      </c>
      <c r="N77" s="41">
        <f>SUM(J77:M77)</f>
        <v>407821.68400000001</v>
      </c>
      <c r="O77" s="114"/>
      <c r="P77" s="74" t="s">
        <v>51</v>
      </c>
      <c r="Q77" s="39">
        <v>235059</v>
      </c>
      <c r="R77" s="39">
        <v>244713</v>
      </c>
      <c r="S77" s="39">
        <v>41040</v>
      </c>
      <c r="T77" s="40">
        <v>10620</v>
      </c>
      <c r="U77" s="41">
        <v>531432</v>
      </c>
    </row>
    <row r="78" spans="1:21" ht="20.100000000000001" customHeight="1" thickBot="1" x14ac:dyDescent="0.3">
      <c r="A78" s="719" t="s">
        <v>52</v>
      </c>
      <c r="B78" s="719"/>
      <c r="C78" s="719"/>
      <c r="D78" s="720">
        <v>26</v>
      </c>
      <c r="E78" s="721"/>
      <c r="F78" s="722">
        <f>(H23+I23)+(H43+I43)+(H54+I54)+(H68+I68)</f>
        <v>58</v>
      </c>
      <c r="G78" s="723"/>
      <c r="H78" s="23"/>
      <c r="I78" s="75" t="s">
        <v>31</v>
      </c>
      <c r="J78" s="76">
        <f>SUM(J75:J77)</f>
        <v>64959.852000000006</v>
      </c>
      <c r="K78" s="76">
        <f t="shared" ref="K78:M78" si="6">SUM(K75:K77)</f>
        <v>221872.36</v>
      </c>
      <c r="L78" s="76">
        <f t="shared" si="6"/>
        <v>335683.24199999997</v>
      </c>
      <c r="M78" s="77">
        <f t="shared" si="6"/>
        <v>18443.73</v>
      </c>
      <c r="N78" s="78">
        <f>SUM(J78:M78)</f>
        <v>640959.18399999989</v>
      </c>
      <c r="O78" s="196"/>
      <c r="P78" s="75" t="s">
        <v>31</v>
      </c>
      <c r="Q78" s="76">
        <v>289059</v>
      </c>
      <c r="R78" s="76">
        <v>256913</v>
      </c>
      <c r="S78" s="76">
        <v>166640</v>
      </c>
      <c r="T78" s="77">
        <v>16607.5</v>
      </c>
      <c r="U78" s="78">
        <v>729219.5</v>
      </c>
    </row>
    <row r="79" spans="1:21" ht="20.100000000000001" customHeight="1" thickBot="1" x14ac:dyDescent="0.3">
      <c r="A79" s="719" t="s">
        <v>53</v>
      </c>
      <c r="B79" s="719"/>
      <c r="C79" s="719"/>
      <c r="D79" s="745">
        <v>168</v>
      </c>
      <c r="E79" s="746"/>
      <c r="F79" s="747">
        <f>G23+G43+G54+G68</f>
        <v>184</v>
      </c>
      <c r="G79" s="748"/>
      <c r="H79" s="23"/>
      <c r="I79" s="734" t="s">
        <v>82</v>
      </c>
      <c r="J79" s="734"/>
      <c r="K79" s="734"/>
      <c r="L79" s="734"/>
      <c r="M79" s="734"/>
      <c r="N79" s="734"/>
      <c r="O79" s="196"/>
      <c r="P79" s="729" t="s">
        <v>146</v>
      </c>
      <c r="Q79" s="730"/>
      <c r="R79" s="730"/>
      <c r="S79" s="730"/>
      <c r="T79" s="730"/>
      <c r="U79" s="731"/>
    </row>
    <row r="80" spans="1:21" ht="35.25" customHeight="1" thickBot="1" x14ac:dyDescent="0.3">
      <c r="A80" s="742" t="s">
        <v>54</v>
      </c>
      <c r="B80" s="742"/>
      <c r="C80" s="742"/>
      <c r="D80" s="724">
        <v>406332</v>
      </c>
      <c r="E80" s="725"/>
      <c r="F80" s="743">
        <f>M70+M56+M45+M25</f>
        <v>292169.38</v>
      </c>
      <c r="G80" s="744"/>
      <c r="H80" s="113"/>
      <c r="I80" s="67" t="s">
        <v>42</v>
      </c>
      <c r="J80" s="68" t="s">
        <v>43</v>
      </c>
      <c r="K80" s="69" t="s">
        <v>44</v>
      </c>
      <c r="L80" s="230" t="s">
        <v>45</v>
      </c>
      <c r="M80" s="123" t="s">
        <v>46</v>
      </c>
      <c r="N80" s="71" t="s">
        <v>31</v>
      </c>
      <c r="O80" s="196"/>
      <c r="P80" s="67" t="s">
        <v>42</v>
      </c>
      <c r="Q80" s="68" t="s">
        <v>43</v>
      </c>
      <c r="R80" s="69" t="s">
        <v>44</v>
      </c>
      <c r="S80" s="69" t="s">
        <v>45</v>
      </c>
      <c r="T80" s="70" t="s">
        <v>46</v>
      </c>
      <c r="U80" s="71" t="s">
        <v>31</v>
      </c>
    </row>
    <row r="81" spans="1:22" ht="20.100000000000001" customHeight="1" thickBot="1" x14ac:dyDescent="0.3">
      <c r="A81" s="742" t="s">
        <v>55</v>
      </c>
      <c r="B81" s="742"/>
      <c r="C81" s="742"/>
      <c r="D81" s="724">
        <v>139000</v>
      </c>
      <c r="E81" s="725"/>
      <c r="F81" s="743">
        <f>N68+N54+N43+N23</f>
        <v>128502.56000000003</v>
      </c>
      <c r="G81" s="744"/>
      <c r="H81" s="113"/>
      <c r="I81" s="72" t="s">
        <v>22</v>
      </c>
      <c r="J81" s="117">
        <f>J75/Q75</f>
        <v>0.66666666666666663</v>
      </c>
      <c r="K81" s="117">
        <f>K75/R75</f>
        <v>2.7083333333333335</v>
      </c>
      <c r="L81" s="117">
        <f>L75/S75</f>
        <v>1.4437229437229437</v>
      </c>
      <c r="M81" s="117">
        <f>M75/T75</f>
        <v>1</v>
      </c>
      <c r="N81" s="212">
        <f>N75/U75</f>
        <v>1.2792038187877151</v>
      </c>
      <c r="O81" s="196"/>
      <c r="P81" s="124" t="s">
        <v>48</v>
      </c>
      <c r="Q81" s="128">
        <v>3</v>
      </c>
      <c r="R81" s="126">
        <v>0</v>
      </c>
      <c r="S81" s="126">
        <v>0</v>
      </c>
      <c r="T81" s="139">
        <v>0</v>
      </c>
      <c r="U81" s="141">
        <v>3</v>
      </c>
    </row>
    <row r="82" spans="1:22" ht="20.100000000000001" customHeight="1" thickBot="1" x14ac:dyDescent="0.3">
      <c r="A82" s="742" t="s">
        <v>56</v>
      </c>
      <c r="B82" s="742"/>
      <c r="C82" s="742"/>
      <c r="D82" s="724">
        <v>-13900</v>
      </c>
      <c r="E82" s="725"/>
      <c r="F82" s="743">
        <f>(N69+N55+N44+N24)</f>
        <v>-12850.256000000001</v>
      </c>
      <c r="G82" s="744"/>
      <c r="H82" s="113"/>
      <c r="I82" s="73" t="s">
        <v>49</v>
      </c>
      <c r="J82" s="117">
        <f>J76/Q76</f>
        <v>0.63030303030303025</v>
      </c>
      <c r="K82" s="117">
        <f t="shared" ref="K82:N84" si="7">K76/R76</f>
        <v>1.9516129032258065</v>
      </c>
      <c r="L82" s="117">
        <f t="shared" si="7"/>
        <v>0.90361445783132532</v>
      </c>
      <c r="M82" s="117">
        <f t="shared" si="7"/>
        <v>1</v>
      </c>
      <c r="N82" s="212">
        <f t="shared" si="7"/>
        <v>0.94237288135593222</v>
      </c>
      <c r="O82" s="196"/>
      <c r="P82" s="125" t="s">
        <v>86</v>
      </c>
      <c r="Q82" s="293">
        <v>3</v>
      </c>
      <c r="R82" s="126">
        <v>2</v>
      </c>
      <c r="S82" s="294">
        <v>6</v>
      </c>
      <c r="T82" s="295">
        <v>1</v>
      </c>
      <c r="U82" s="141">
        <v>12</v>
      </c>
    </row>
    <row r="83" spans="1:22" ht="20.100000000000001" customHeight="1" thickBot="1" x14ac:dyDescent="0.3">
      <c r="A83" s="737" t="s">
        <v>57</v>
      </c>
      <c r="B83" s="737"/>
      <c r="C83" s="737"/>
      <c r="D83" s="738">
        <f>SUM(D80:E82)</f>
        <v>531432</v>
      </c>
      <c r="E83" s="739"/>
      <c r="F83" s="740">
        <f>F80+F81+F82</f>
        <v>407821.68400000007</v>
      </c>
      <c r="G83" s="740"/>
      <c r="H83" s="112"/>
      <c r="I83" s="74" t="s">
        <v>51</v>
      </c>
      <c r="J83" s="117">
        <f>J77/Q77</f>
        <v>0.1257550317154417</v>
      </c>
      <c r="K83" s="117">
        <f>K77/R77</f>
        <v>0.79081356527850988</v>
      </c>
      <c r="L83" s="117">
        <f t="shared" si="7"/>
        <v>4.197934746588694</v>
      </c>
      <c r="M83" s="117">
        <f t="shared" si="7"/>
        <v>1.1729030131826741</v>
      </c>
      <c r="N83" s="212">
        <f t="shared" si="7"/>
        <v>0.76740144364660012</v>
      </c>
      <c r="O83" s="196"/>
      <c r="P83" s="74" t="s">
        <v>87</v>
      </c>
      <c r="Q83" s="293">
        <v>26</v>
      </c>
      <c r="R83" s="126">
        <v>0</v>
      </c>
      <c r="S83" s="294">
        <v>0</v>
      </c>
      <c r="T83" s="295">
        <v>0</v>
      </c>
      <c r="U83" s="141">
        <v>26</v>
      </c>
    </row>
    <row r="84" spans="1:22" ht="20.100000000000001" customHeight="1" thickBot="1" x14ac:dyDescent="0.3">
      <c r="A84" s="42"/>
      <c r="B84" s="42"/>
      <c r="C84" s="42"/>
      <c r="D84" s="42"/>
      <c r="E84" s="42"/>
      <c r="F84" s="42"/>
      <c r="G84" s="112"/>
      <c r="H84" s="112"/>
      <c r="I84" s="75" t="s">
        <v>31</v>
      </c>
      <c r="J84" s="120">
        <f>J78/Q78</f>
        <v>0.22472869552582692</v>
      </c>
      <c r="K84" s="120">
        <f>K78/R78</f>
        <v>0.86360892597883321</v>
      </c>
      <c r="L84" s="120">
        <f t="shared" si="7"/>
        <v>2.0144217594815168</v>
      </c>
      <c r="M84" s="121">
        <f t="shared" si="7"/>
        <v>1.1105663104019268</v>
      </c>
      <c r="N84" s="122">
        <f t="shared" si="7"/>
        <v>0.87896605068844136</v>
      </c>
      <c r="O84" s="42"/>
      <c r="P84" s="74" t="s">
        <v>88</v>
      </c>
      <c r="Q84" s="293">
        <v>32</v>
      </c>
      <c r="R84" s="126">
        <v>32</v>
      </c>
      <c r="S84" s="294">
        <v>96</v>
      </c>
      <c r="T84" s="295">
        <v>8</v>
      </c>
      <c r="U84" s="141">
        <v>72</v>
      </c>
    </row>
    <row r="85" spans="1:22" x14ac:dyDescent="0.25">
      <c r="A85" s="42"/>
      <c r="B85" s="741"/>
      <c r="C85" s="741"/>
      <c r="D85" s="741"/>
      <c r="E85" s="43"/>
      <c r="F85" s="43"/>
      <c r="G85" s="176"/>
      <c r="I85" s="42"/>
      <c r="J85" s="42"/>
      <c r="K85" s="42"/>
      <c r="L85" s="42"/>
      <c r="M85" s="42"/>
      <c r="N85" s="42"/>
      <c r="O85" s="42"/>
      <c r="P85" s="74" t="s">
        <v>89</v>
      </c>
      <c r="Q85" s="296">
        <v>196179</v>
      </c>
      <c r="R85" s="126">
        <v>210153</v>
      </c>
      <c r="S85" s="294">
        <v>0</v>
      </c>
      <c r="T85" s="297">
        <v>0</v>
      </c>
      <c r="U85" s="141">
        <v>406332</v>
      </c>
    </row>
    <row r="86" spans="1:22" ht="15.75" thickBot="1" x14ac:dyDescent="0.3">
      <c r="A86" s="42"/>
      <c r="B86" s="44"/>
      <c r="C86" s="44"/>
      <c r="D86" s="44"/>
      <c r="E86" s="45"/>
      <c r="F86" s="44"/>
      <c r="G86" s="46"/>
      <c r="H86" s="44"/>
      <c r="I86" s="683" t="s">
        <v>92</v>
      </c>
      <c r="J86" s="683"/>
      <c r="K86" s="683"/>
      <c r="L86" s="683"/>
      <c r="M86" s="683"/>
      <c r="N86" s="683"/>
      <c r="O86" s="42"/>
      <c r="P86" s="74" t="s">
        <v>91</v>
      </c>
      <c r="Q86" s="298">
        <v>38880</v>
      </c>
      <c r="R86" s="299">
        <v>34560</v>
      </c>
      <c r="S86" s="299">
        <v>41040</v>
      </c>
      <c r="T86" s="300">
        <v>10620</v>
      </c>
      <c r="U86" s="141">
        <v>125100</v>
      </c>
      <c r="V86" s="48"/>
    </row>
    <row r="87" spans="1:22" ht="32.25" thickBot="1" x14ac:dyDescent="0.3">
      <c r="A87" s="42"/>
      <c r="B87" s="42"/>
      <c r="C87" s="42"/>
      <c r="D87" s="42"/>
      <c r="E87" s="42"/>
      <c r="F87" s="42"/>
      <c r="G87" s="42"/>
      <c r="H87" s="44"/>
      <c r="I87" s="67" t="s">
        <v>42</v>
      </c>
      <c r="J87" s="68" t="s">
        <v>43</v>
      </c>
      <c r="K87" s="69" t="s">
        <v>44</v>
      </c>
      <c r="L87" s="69" t="s">
        <v>45</v>
      </c>
      <c r="M87" s="70" t="s">
        <v>46</v>
      </c>
      <c r="N87" s="71" t="s">
        <v>31</v>
      </c>
      <c r="O87" s="42"/>
      <c r="P87" s="75" t="s">
        <v>31</v>
      </c>
      <c r="Q87" s="127">
        <v>235059</v>
      </c>
      <c r="R87" s="76">
        <v>244713</v>
      </c>
      <c r="S87" s="76">
        <v>41040</v>
      </c>
      <c r="T87" s="76">
        <v>10620</v>
      </c>
      <c r="U87" s="76">
        <v>531432</v>
      </c>
    </row>
    <row r="88" spans="1:22" x14ac:dyDescent="0.25">
      <c r="A88" s="42"/>
      <c r="B88" s="183" t="s">
        <v>106</v>
      </c>
      <c r="C88" s="183"/>
      <c r="D88" s="183"/>
      <c r="E88" s="43" t="s">
        <v>107</v>
      </c>
      <c r="F88" s="42"/>
      <c r="G88" s="42"/>
      <c r="H88" s="47"/>
      <c r="I88" s="124" t="s">
        <v>48</v>
      </c>
      <c r="J88" s="132">
        <f>0/Q81</f>
        <v>0</v>
      </c>
      <c r="K88" s="126" t="e">
        <f>0/R81</f>
        <v>#DIV/0!</v>
      </c>
      <c r="L88" s="126" t="e">
        <f>A40+A41/S81</f>
        <v>#DIV/0!</v>
      </c>
      <c r="M88" s="118" t="e">
        <f>0/T81</f>
        <v>#DIV/0!</v>
      </c>
      <c r="N88" s="119">
        <f t="shared" ref="N88:N93" si="8">F76/D76</f>
        <v>0.66666666666666663</v>
      </c>
      <c r="O88" s="42"/>
    </row>
    <row r="89" spans="1:22" x14ac:dyDescent="0.25">
      <c r="A89" s="42"/>
      <c r="B89" s="44"/>
      <c r="C89" s="44"/>
      <c r="D89" s="44"/>
      <c r="E89" s="45"/>
      <c r="F89" s="43"/>
      <c r="G89" s="42"/>
      <c r="H89" s="44"/>
      <c r="I89" s="125" t="s">
        <v>86</v>
      </c>
      <c r="J89" s="133">
        <f>A23/Q82</f>
        <v>0.66666666666666663</v>
      </c>
      <c r="K89" s="132">
        <f>A54/R82</f>
        <v>1.5</v>
      </c>
      <c r="L89" s="142">
        <f>A43/S82</f>
        <v>1</v>
      </c>
      <c r="M89" s="143">
        <f>A68/T82</f>
        <v>1</v>
      </c>
      <c r="N89" s="148">
        <f t="shared" si="8"/>
        <v>1</v>
      </c>
      <c r="O89" s="42"/>
    </row>
    <row r="90" spans="1:22" x14ac:dyDescent="0.25">
      <c r="A90" s="42"/>
      <c r="B90" s="44"/>
      <c r="C90" s="44"/>
      <c r="D90" s="44"/>
      <c r="E90" s="45"/>
      <c r="F90" s="44"/>
      <c r="G90" s="42"/>
      <c r="H90" s="42"/>
      <c r="I90" s="74" t="s">
        <v>87</v>
      </c>
      <c r="J90" s="133">
        <f>H23+I23/Q83</f>
        <v>0</v>
      </c>
      <c r="K90" s="33" t="e">
        <f>H54+I54/R83</f>
        <v>#DIV/0!</v>
      </c>
      <c r="L90" s="129" t="e">
        <f>H43+I43/S83</f>
        <v>#DIV/0!</v>
      </c>
      <c r="M90" s="143" t="e">
        <f>(H68+I68)/T83</f>
        <v>#DIV/0!</v>
      </c>
      <c r="N90" s="148">
        <f t="shared" si="8"/>
        <v>2.2307692307692308</v>
      </c>
      <c r="O90" s="42"/>
      <c r="R90" s="726"/>
      <c r="S90" s="726"/>
    </row>
    <row r="91" spans="1:22" x14ac:dyDescent="0.25">
      <c r="A91" s="42"/>
      <c r="B91" s="44"/>
      <c r="C91" s="44"/>
      <c r="D91" s="44"/>
      <c r="E91" s="45"/>
      <c r="F91" s="44"/>
      <c r="G91" s="42"/>
      <c r="H91" s="42"/>
      <c r="I91" s="74" t="s">
        <v>88</v>
      </c>
      <c r="J91" s="133">
        <f>G23/Q84</f>
        <v>1</v>
      </c>
      <c r="K91" s="132">
        <f>G54/R84</f>
        <v>1.25</v>
      </c>
      <c r="L91" s="133">
        <f>G43/S84</f>
        <v>1.0833333333333333</v>
      </c>
      <c r="M91" s="143">
        <f>G68/T84</f>
        <v>1</v>
      </c>
      <c r="N91" s="148">
        <f t="shared" si="8"/>
        <v>1.0952380952380953</v>
      </c>
      <c r="O91" s="42"/>
    </row>
    <row r="92" spans="1:22" x14ac:dyDescent="0.25">
      <c r="A92" s="42"/>
      <c r="B92" s="44"/>
      <c r="C92" s="44"/>
      <c r="D92" s="44"/>
      <c r="E92" s="45"/>
      <c r="F92" s="44"/>
      <c r="G92" s="42"/>
      <c r="H92" s="42"/>
      <c r="I92" s="74" t="s">
        <v>89</v>
      </c>
      <c r="J92" s="133">
        <f>M23/Q85</f>
        <v>0</v>
      </c>
      <c r="K92" s="132">
        <f>M54/R85</f>
        <v>0.83851498670016611</v>
      </c>
      <c r="L92" s="133" t="e">
        <f>M43/S85</f>
        <v>#DIV/0!</v>
      </c>
      <c r="M92" s="143" t="e">
        <f>M70/T85</f>
        <v>#DIV/0!</v>
      </c>
      <c r="N92" s="148">
        <f t="shared" si="8"/>
        <v>0.71904103048738466</v>
      </c>
      <c r="O92" s="42"/>
    </row>
    <row r="93" spans="1:22" x14ac:dyDescent="0.25">
      <c r="A93" s="42"/>
      <c r="B93" s="184" t="s">
        <v>108</v>
      </c>
      <c r="C93" s="184"/>
      <c r="D93" s="184"/>
      <c r="E93" s="185" t="s">
        <v>109</v>
      </c>
      <c r="F93" s="44"/>
      <c r="G93" s="42"/>
      <c r="H93" s="42"/>
      <c r="I93" s="74" t="s">
        <v>90</v>
      </c>
      <c r="J93" s="135">
        <f>N25/Q86</f>
        <v>0.76028425925925947</v>
      </c>
      <c r="K93" s="135">
        <f>N56/R86</f>
        <v>0.50074999999999992</v>
      </c>
      <c r="L93" s="135">
        <f>N45/S86</f>
        <v>1.416984210526316</v>
      </c>
      <c r="M93" s="144">
        <f>N70/T86</f>
        <v>1.001271186440678</v>
      </c>
      <c r="N93" s="148">
        <f t="shared" si="8"/>
        <v>0.92447884892086352</v>
      </c>
      <c r="O93" s="42"/>
    </row>
    <row r="94" spans="1:22" ht="15.75" thickBot="1" x14ac:dyDescent="0.3">
      <c r="A94" s="42"/>
      <c r="B94" s="44" t="s">
        <v>110</v>
      </c>
      <c r="C94" s="44"/>
      <c r="D94" s="44"/>
      <c r="E94" s="43" t="s">
        <v>111</v>
      </c>
      <c r="F94" s="185"/>
      <c r="G94" s="42"/>
      <c r="H94" s="42"/>
      <c r="I94" s="75" t="s">
        <v>31</v>
      </c>
      <c r="J94" s="137">
        <f>J77/Q77</f>
        <v>0.1257550317154417</v>
      </c>
      <c r="K94" s="137">
        <f>K77/R77</f>
        <v>0.79081356527850988</v>
      </c>
      <c r="L94" s="137">
        <f>L77/S77</f>
        <v>4.197934746588694</v>
      </c>
      <c r="M94" s="145">
        <f>M77/T77</f>
        <v>1.1729030131826741</v>
      </c>
      <c r="N94" s="146">
        <f>N77/U77</f>
        <v>0.76740144364660012</v>
      </c>
      <c r="O94" s="42"/>
    </row>
    <row r="95" spans="1:22" x14ac:dyDescent="0.25">
      <c r="A95" s="42"/>
      <c r="B95" s="42"/>
      <c r="C95" s="42"/>
      <c r="D95" s="42"/>
      <c r="E95" s="42"/>
      <c r="F95" s="42"/>
      <c r="G95" s="42"/>
      <c r="H95" s="42"/>
      <c r="I95" s="42"/>
      <c r="J95" s="42"/>
      <c r="K95" s="42"/>
      <c r="L95" s="42"/>
      <c r="M95" s="42"/>
      <c r="N95" s="42"/>
      <c r="O95" s="42"/>
    </row>
    <row r="96" spans="1:22" x14ac:dyDescent="0.25">
      <c r="A96" s="42"/>
      <c r="B96" s="5"/>
      <c r="C96" s="5"/>
      <c r="D96" s="5"/>
      <c r="E96" s="5"/>
      <c r="F96" s="5"/>
      <c r="G96" s="42"/>
      <c r="H96" s="42"/>
      <c r="I96" s="5"/>
      <c r="O96" s="42"/>
    </row>
    <row r="97" spans="1:15" x14ac:dyDescent="0.25">
      <c r="A97" s="42"/>
      <c r="B97" s="5"/>
      <c r="C97" s="5"/>
      <c r="D97" s="5"/>
      <c r="E97" s="5"/>
      <c r="F97" s="5"/>
      <c r="G97" s="42"/>
      <c r="H97" s="42"/>
      <c r="I97" s="5"/>
      <c r="O97" s="42"/>
    </row>
    <row r="98" spans="1:15" x14ac:dyDescent="0.25">
      <c r="A98" s="42"/>
      <c r="B98" s="5"/>
      <c r="C98" s="5"/>
      <c r="D98" s="5"/>
      <c r="E98" s="5"/>
      <c r="F98" s="5"/>
      <c r="G98" s="42"/>
      <c r="H98" s="42"/>
      <c r="I98" s="5"/>
      <c r="J98" s="5"/>
      <c r="K98" s="5"/>
      <c r="L98" s="5"/>
      <c r="M98" s="5"/>
      <c r="N98" s="5"/>
    </row>
    <row r="99" spans="1:15" x14ac:dyDescent="0.25">
      <c r="A99" s="42"/>
      <c r="B99" s="5"/>
      <c r="C99" s="5"/>
      <c r="D99" s="5"/>
      <c r="E99" s="5"/>
      <c r="F99" s="5"/>
      <c r="G99" s="42"/>
      <c r="H99" s="42"/>
      <c r="I99" s="5"/>
      <c r="J99" s="5"/>
      <c r="K99" s="5"/>
      <c r="L99" s="5"/>
      <c r="M99" s="5"/>
      <c r="N99" s="5"/>
    </row>
    <row r="100" spans="1:15" x14ac:dyDescent="0.25">
      <c r="A100" s="42"/>
      <c r="B100" s="5"/>
      <c r="C100" s="5"/>
      <c r="D100" s="5"/>
      <c r="E100" s="5"/>
      <c r="F100" s="5"/>
      <c r="G100" s="42"/>
      <c r="H100" s="42"/>
      <c r="I100" s="5"/>
      <c r="J100" s="5"/>
      <c r="K100" s="5"/>
      <c r="L100" s="5"/>
      <c r="M100" s="5"/>
      <c r="N100" s="5"/>
    </row>
    <row r="101" spans="1:15" x14ac:dyDescent="0.25">
      <c r="A101" s="42"/>
      <c r="B101" s="5"/>
      <c r="C101" s="5"/>
      <c r="D101" s="5"/>
      <c r="E101" s="5"/>
      <c r="F101" s="5"/>
      <c r="G101" s="42"/>
      <c r="H101" s="42"/>
      <c r="I101" s="5"/>
      <c r="J101" s="5"/>
      <c r="K101" s="5"/>
      <c r="L101" s="5"/>
      <c r="M101" s="5"/>
      <c r="N101" s="5"/>
    </row>
    <row r="102" spans="1:15" x14ac:dyDescent="0.25">
      <c r="A102" s="42"/>
      <c r="B102" s="5"/>
      <c r="C102" s="5"/>
      <c r="D102" s="5"/>
      <c r="E102" s="5"/>
      <c r="F102" s="5"/>
      <c r="G102" s="5"/>
      <c r="H102" s="42"/>
      <c r="I102" s="5"/>
      <c r="J102" s="5"/>
      <c r="K102" s="5"/>
      <c r="L102" s="5"/>
      <c r="M102" s="5"/>
      <c r="N102" s="5"/>
    </row>
    <row r="103" spans="1:15" x14ac:dyDescent="0.25">
      <c r="A103" s="42"/>
      <c r="B103" s="5"/>
      <c r="C103" s="5"/>
      <c r="D103" s="5"/>
      <c r="E103" s="5"/>
      <c r="F103" s="5"/>
      <c r="G103" s="5"/>
      <c r="H103" s="42"/>
      <c r="I103" s="5"/>
      <c r="J103" s="5"/>
      <c r="K103" s="5"/>
      <c r="L103" s="5"/>
      <c r="M103" s="5"/>
      <c r="N103" s="5"/>
    </row>
    <row r="104" spans="1:15" x14ac:dyDescent="0.25">
      <c r="A104" s="42"/>
      <c r="B104" s="5"/>
      <c r="C104" s="5"/>
      <c r="D104" s="5"/>
      <c r="E104" s="5"/>
      <c r="F104" s="5"/>
      <c r="G104" s="5"/>
      <c r="H104" s="42"/>
      <c r="I104" s="5"/>
      <c r="J104" s="5"/>
      <c r="K104" s="5"/>
      <c r="L104" s="5"/>
      <c r="M104" s="5"/>
      <c r="N104" s="5"/>
    </row>
    <row r="105" spans="1:15" x14ac:dyDescent="0.25">
      <c r="A105" s="5"/>
      <c r="B105" s="5"/>
      <c r="C105" s="5"/>
      <c r="D105" s="5"/>
      <c r="E105" s="5"/>
      <c r="F105" s="5"/>
      <c r="G105" s="5"/>
      <c r="H105" s="5"/>
      <c r="I105" s="5"/>
      <c r="J105" s="5"/>
      <c r="K105" s="5"/>
      <c r="L105" s="5"/>
      <c r="M105" s="5"/>
      <c r="N105" s="5"/>
    </row>
    <row r="106" spans="1:15" x14ac:dyDescent="0.25">
      <c r="A106" s="5"/>
      <c r="B106" s="5"/>
      <c r="C106" s="5"/>
      <c r="D106" s="5"/>
      <c r="E106" s="5"/>
      <c r="F106" s="5"/>
      <c r="G106" s="5"/>
      <c r="H106" s="5"/>
      <c r="I106" s="5"/>
      <c r="J106" s="5"/>
      <c r="K106" s="5"/>
      <c r="L106" s="5"/>
      <c r="M106" s="5"/>
      <c r="N106" s="5"/>
    </row>
    <row r="107" spans="1:15" x14ac:dyDescent="0.25">
      <c r="A107" s="5"/>
      <c r="B107" s="5"/>
      <c r="C107" s="5"/>
      <c r="D107" s="5"/>
      <c r="E107" s="5"/>
      <c r="F107" s="5"/>
      <c r="G107" s="5"/>
      <c r="H107" s="5"/>
      <c r="I107" s="5"/>
      <c r="J107" s="5"/>
      <c r="K107" s="5"/>
      <c r="L107" s="5"/>
      <c r="M107" s="5"/>
      <c r="N107" s="5"/>
    </row>
    <row r="108" spans="1:15" x14ac:dyDescent="0.25">
      <c r="A108" s="5"/>
      <c r="B108" s="5"/>
      <c r="C108" s="5"/>
      <c r="D108" s="5"/>
      <c r="E108" s="5"/>
      <c r="F108" s="5"/>
      <c r="G108" s="5"/>
      <c r="H108" s="5"/>
      <c r="I108" s="5"/>
      <c r="J108" s="5"/>
      <c r="K108" s="5"/>
      <c r="L108" s="5"/>
      <c r="M108" s="5"/>
      <c r="N108" s="5"/>
    </row>
    <row r="109" spans="1:15" x14ac:dyDescent="0.25">
      <c r="A109" s="5"/>
      <c r="B109" s="5"/>
      <c r="C109" s="5"/>
      <c r="D109" s="5"/>
      <c r="E109" s="5"/>
      <c r="F109" s="5"/>
      <c r="G109" s="5"/>
      <c r="H109" s="5"/>
      <c r="I109" s="5"/>
      <c r="J109" s="5"/>
      <c r="K109" s="5"/>
      <c r="L109" s="5"/>
      <c r="M109" s="5"/>
      <c r="N109" s="5"/>
    </row>
    <row r="110" spans="1:15" x14ac:dyDescent="0.25">
      <c r="A110" s="5"/>
      <c r="B110" s="5"/>
      <c r="C110" s="5"/>
      <c r="D110" s="5"/>
      <c r="E110" s="5"/>
      <c r="F110" s="5"/>
      <c r="G110" s="5"/>
      <c r="H110" s="5"/>
      <c r="I110" s="5"/>
      <c r="J110" s="5"/>
      <c r="K110" s="5"/>
      <c r="L110" s="5"/>
      <c r="M110" s="5"/>
      <c r="N110" s="5"/>
    </row>
    <row r="111" spans="1:15" x14ac:dyDescent="0.25">
      <c r="A111" s="5"/>
      <c r="B111" s="5"/>
      <c r="C111" s="5"/>
      <c r="D111" s="5"/>
      <c r="E111" s="5"/>
      <c r="F111" s="5"/>
      <c r="G111" s="5"/>
      <c r="H111" s="5"/>
      <c r="I111" s="5"/>
      <c r="J111" s="5"/>
      <c r="K111" s="5"/>
      <c r="L111" s="5"/>
      <c r="M111" s="5"/>
      <c r="N111" s="5"/>
    </row>
    <row r="112" spans="1:15" x14ac:dyDescent="0.25">
      <c r="A112" s="5"/>
      <c r="B112" s="5"/>
      <c r="C112" s="5"/>
      <c r="D112" s="5"/>
      <c r="E112" s="5"/>
      <c r="F112" s="5"/>
      <c r="G112" s="5"/>
      <c r="H112" s="5"/>
      <c r="I112" s="5"/>
      <c r="J112" s="5"/>
      <c r="K112" s="5"/>
      <c r="L112" s="5"/>
      <c r="M112" s="5"/>
      <c r="N112" s="5"/>
    </row>
    <row r="113" spans="1:15" x14ac:dyDescent="0.25">
      <c r="A113" s="5"/>
      <c r="B113" s="5"/>
      <c r="C113" s="5"/>
      <c r="D113" s="5"/>
      <c r="E113" s="5"/>
      <c r="F113" s="5"/>
      <c r="G113" s="5"/>
      <c r="H113" s="5"/>
      <c r="I113" s="5"/>
      <c r="J113" s="5"/>
      <c r="K113" s="5"/>
      <c r="L113" s="5"/>
      <c r="M113" s="5"/>
      <c r="N113" s="5"/>
      <c r="O113" s="5"/>
    </row>
    <row r="114" spans="1:15" x14ac:dyDescent="0.25">
      <c r="A114" s="5"/>
      <c r="B114" s="5"/>
      <c r="C114" s="5"/>
      <c r="D114" s="5"/>
      <c r="E114" s="5"/>
      <c r="F114" s="5"/>
      <c r="G114" s="5"/>
      <c r="H114" s="5"/>
      <c r="I114" s="5"/>
      <c r="J114" s="5"/>
      <c r="K114" s="5"/>
      <c r="L114" s="5"/>
      <c r="M114" s="5"/>
      <c r="N114" s="5"/>
      <c r="O114" s="5"/>
    </row>
    <row r="115" spans="1:15" x14ac:dyDescent="0.25">
      <c r="A115" s="5"/>
      <c r="B115" s="5"/>
      <c r="C115" s="5"/>
      <c r="D115" s="5"/>
      <c r="E115" s="5"/>
      <c r="F115" s="5"/>
      <c r="G115" s="5"/>
      <c r="H115" s="5"/>
      <c r="I115" s="5"/>
      <c r="J115" s="5"/>
      <c r="K115" s="5"/>
      <c r="L115" s="5"/>
      <c r="M115" s="5"/>
      <c r="N115" s="5"/>
      <c r="O115" s="5"/>
    </row>
    <row r="116" spans="1:15" x14ac:dyDescent="0.25">
      <c r="A116" s="5"/>
      <c r="B116" s="5"/>
      <c r="C116" s="5"/>
      <c r="D116" s="5"/>
      <c r="E116" s="5"/>
      <c r="F116" s="5"/>
      <c r="G116" s="5"/>
      <c r="H116" s="5"/>
      <c r="I116" s="5"/>
      <c r="J116" s="5"/>
      <c r="K116" s="5"/>
      <c r="L116" s="5"/>
      <c r="M116" s="5"/>
      <c r="N116" s="5"/>
      <c r="O116" s="5"/>
    </row>
    <row r="117" spans="1:15" x14ac:dyDescent="0.25">
      <c r="A117" s="5"/>
      <c r="B117" s="5"/>
      <c r="C117" s="5"/>
      <c r="D117" s="5"/>
      <c r="E117" s="5"/>
      <c r="F117" s="5"/>
      <c r="G117" s="5"/>
      <c r="H117" s="5"/>
      <c r="I117" s="5"/>
      <c r="J117" s="5"/>
      <c r="K117" s="5"/>
      <c r="L117" s="5"/>
      <c r="M117" s="5"/>
      <c r="N117" s="5"/>
      <c r="O117" s="5"/>
    </row>
    <row r="118" spans="1:15" x14ac:dyDescent="0.25">
      <c r="A118" s="5"/>
      <c r="B118" s="5"/>
      <c r="C118" s="5"/>
      <c r="D118" s="5"/>
      <c r="E118" s="5"/>
      <c r="F118" s="5"/>
      <c r="G118" s="5"/>
      <c r="H118" s="5"/>
      <c r="I118" s="5"/>
      <c r="J118" s="5"/>
      <c r="K118" s="5"/>
      <c r="L118" s="5"/>
      <c r="M118" s="5"/>
      <c r="N118" s="5"/>
      <c r="O118" s="5"/>
    </row>
    <row r="119" spans="1:15" x14ac:dyDescent="0.25">
      <c r="A119" s="5"/>
      <c r="B119" s="5"/>
      <c r="C119" s="5"/>
      <c r="D119" s="5"/>
      <c r="E119" s="5"/>
      <c r="F119" s="5"/>
      <c r="G119" s="5"/>
      <c r="H119" s="5"/>
      <c r="I119" s="5"/>
      <c r="J119" s="5"/>
      <c r="K119" s="5"/>
      <c r="L119" s="5"/>
      <c r="M119" s="5"/>
      <c r="N119" s="5"/>
      <c r="O119" s="5"/>
    </row>
    <row r="120" spans="1:15" x14ac:dyDescent="0.25">
      <c r="A120" s="5"/>
      <c r="B120" s="5"/>
      <c r="C120" s="5"/>
      <c r="D120" s="5"/>
      <c r="E120" s="5"/>
      <c r="F120" s="5"/>
      <c r="G120" s="5"/>
      <c r="H120" s="5"/>
      <c r="I120" s="5"/>
      <c r="J120" s="5"/>
      <c r="K120" s="5"/>
      <c r="L120" s="5"/>
      <c r="M120" s="5"/>
      <c r="N120" s="5"/>
      <c r="O120" s="5"/>
    </row>
    <row r="121" spans="1:15" x14ac:dyDescent="0.25">
      <c r="A121" s="5"/>
      <c r="B121" s="5"/>
      <c r="C121" s="5"/>
      <c r="D121" s="5"/>
      <c r="E121" s="5"/>
      <c r="F121" s="5"/>
      <c r="G121" s="5"/>
      <c r="H121" s="5"/>
      <c r="I121" s="5"/>
      <c r="J121" s="5"/>
      <c r="K121" s="5"/>
      <c r="L121" s="5"/>
      <c r="M121" s="5"/>
      <c r="N121" s="5"/>
      <c r="O121" s="5"/>
    </row>
    <row r="122" spans="1:15" x14ac:dyDescent="0.25">
      <c r="A122" s="5"/>
      <c r="B122" s="5"/>
      <c r="C122" s="5"/>
      <c r="D122" s="5"/>
      <c r="E122" s="5"/>
      <c r="F122" s="5"/>
      <c r="G122" s="5"/>
      <c r="H122" s="5"/>
      <c r="I122" s="5"/>
      <c r="J122" s="5"/>
      <c r="K122" s="5"/>
      <c r="L122" s="5"/>
      <c r="M122" s="5"/>
      <c r="N122" s="5"/>
      <c r="O122" s="5"/>
    </row>
    <row r="123" spans="1:15" x14ac:dyDescent="0.25">
      <c r="A123" s="5"/>
      <c r="B123" s="5"/>
      <c r="C123" s="5"/>
      <c r="D123" s="5"/>
      <c r="E123" s="5"/>
      <c r="F123" s="5"/>
      <c r="G123" s="5"/>
      <c r="H123" s="5"/>
      <c r="I123" s="5"/>
      <c r="J123" s="5"/>
      <c r="K123" s="5"/>
      <c r="L123" s="5"/>
      <c r="M123" s="5"/>
      <c r="N123" s="5"/>
      <c r="O123" s="5"/>
    </row>
    <row r="124" spans="1:15" x14ac:dyDescent="0.25">
      <c r="A124" s="5"/>
      <c r="B124" s="5"/>
      <c r="C124" s="5"/>
      <c r="D124" s="5"/>
      <c r="E124" s="5"/>
      <c r="F124" s="5"/>
      <c r="G124" s="5"/>
      <c r="H124" s="5"/>
      <c r="I124" s="5"/>
      <c r="J124" s="5"/>
      <c r="K124" s="5"/>
      <c r="L124" s="5"/>
      <c r="M124" s="5"/>
      <c r="N124" s="5"/>
      <c r="O124" s="5"/>
    </row>
    <row r="125" spans="1:15" x14ac:dyDescent="0.25">
      <c r="A125" s="5"/>
      <c r="B125" s="5"/>
      <c r="C125" s="5"/>
      <c r="D125" s="5"/>
      <c r="E125" s="5"/>
      <c r="F125" s="5"/>
      <c r="G125" s="5"/>
      <c r="H125" s="5"/>
      <c r="I125" s="5"/>
      <c r="J125" s="5"/>
      <c r="K125" s="5"/>
      <c r="L125" s="5"/>
      <c r="M125" s="5"/>
      <c r="N125" s="5"/>
      <c r="O125" s="5"/>
    </row>
    <row r="126" spans="1:15" x14ac:dyDescent="0.25">
      <c r="A126" s="5"/>
      <c r="B126" s="5"/>
      <c r="C126" s="5"/>
      <c r="D126" s="5"/>
      <c r="E126" s="5"/>
      <c r="F126" s="5"/>
      <c r="G126" s="5"/>
      <c r="H126" s="5"/>
      <c r="I126" s="5"/>
      <c r="J126" s="5"/>
      <c r="K126" s="5"/>
      <c r="L126" s="5"/>
      <c r="M126" s="5"/>
      <c r="N126" s="5"/>
      <c r="O126" s="5"/>
    </row>
    <row r="127" spans="1:15" x14ac:dyDescent="0.25">
      <c r="A127" s="5"/>
      <c r="B127" s="5"/>
      <c r="C127" s="5"/>
      <c r="D127" s="5"/>
      <c r="E127" s="5"/>
      <c r="F127" s="5"/>
      <c r="G127" s="5"/>
      <c r="H127" s="5"/>
      <c r="I127" s="5"/>
      <c r="J127" s="5"/>
      <c r="K127" s="5"/>
      <c r="L127" s="5"/>
      <c r="M127" s="5"/>
      <c r="N127" s="5"/>
      <c r="O127" s="5"/>
    </row>
    <row r="128" spans="1:15" x14ac:dyDescent="0.25">
      <c r="A128" s="5"/>
      <c r="B128" s="5"/>
      <c r="C128" s="5"/>
      <c r="D128" s="5"/>
      <c r="E128" s="5"/>
      <c r="F128" s="5"/>
      <c r="G128" s="5"/>
      <c r="H128" s="5"/>
      <c r="I128" s="5"/>
      <c r="J128" s="5"/>
      <c r="K128" s="5"/>
      <c r="L128" s="5"/>
      <c r="M128" s="5"/>
      <c r="N128" s="5"/>
      <c r="O128" s="5"/>
    </row>
    <row r="129" spans="1:15" x14ac:dyDescent="0.25">
      <c r="A129" s="5"/>
      <c r="B129" s="5"/>
      <c r="C129" s="5"/>
      <c r="D129" s="5"/>
      <c r="E129" s="5"/>
      <c r="F129" s="5"/>
      <c r="G129" s="5"/>
      <c r="H129" s="5"/>
      <c r="I129" s="5"/>
      <c r="J129" s="5"/>
      <c r="K129" s="5"/>
      <c r="L129" s="5"/>
      <c r="M129" s="5"/>
      <c r="N129" s="5"/>
      <c r="O129" s="5"/>
    </row>
    <row r="130" spans="1:15" x14ac:dyDescent="0.25">
      <c r="A130" s="5"/>
      <c r="B130" s="5"/>
      <c r="C130" s="5"/>
      <c r="D130" s="5"/>
      <c r="E130" s="5"/>
      <c r="F130" s="5"/>
      <c r="G130" s="5"/>
      <c r="H130" s="5"/>
      <c r="I130" s="5"/>
      <c r="J130" s="5"/>
      <c r="K130" s="5"/>
      <c r="L130" s="5"/>
      <c r="M130" s="5"/>
      <c r="N130" s="5"/>
      <c r="O130" s="5"/>
    </row>
    <row r="131" spans="1:15" x14ac:dyDescent="0.25">
      <c r="A131" s="5"/>
      <c r="B131" s="5"/>
      <c r="C131" s="5"/>
      <c r="D131" s="5"/>
      <c r="E131" s="5"/>
      <c r="F131" s="5"/>
      <c r="G131" s="5"/>
      <c r="H131" s="5"/>
      <c r="I131" s="48"/>
      <c r="J131" s="48"/>
      <c r="K131" s="48"/>
      <c r="L131" s="48"/>
      <c r="M131" s="48"/>
      <c r="N131" s="48"/>
      <c r="O131" s="5"/>
    </row>
    <row r="132" spans="1:15" x14ac:dyDescent="0.25">
      <c r="A132" s="5"/>
      <c r="B132" s="5"/>
      <c r="C132" s="5"/>
      <c r="D132" s="5"/>
      <c r="E132" s="5"/>
      <c r="F132" s="5"/>
      <c r="G132" s="5"/>
      <c r="H132" s="5"/>
      <c r="I132" s="48"/>
      <c r="J132" s="48"/>
      <c r="K132" s="48"/>
      <c r="L132" s="48"/>
      <c r="M132" s="48"/>
      <c r="N132" s="48"/>
      <c r="O132" s="5"/>
    </row>
    <row r="133" spans="1:15" x14ac:dyDescent="0.25">
      <c r="A133" s="5"/>
      <c r="B133" s="48"/>
      <c r="C133" s="48"/>
      <c r="D133" s="48"/>
      <c r="E133" s="48"/>
      <c r="F133" s="48"/>
      <c r="G133" s="5"/>
      <c r="H133" s="5"/>
      <c r="I133" s="48"/>
      <c r="J133" s="48"/>
      <c r="K133" s="48"/>
      <c r="L133" s="48"/>
      <c r="M133" s="48"/>
      <c r="N133" s="48"/>
      <c r="O133" s="5"/>
    </row>
    <row r="134" spans="1:15" x14ac:dyDescent="0.25">
      <c r="A134" s="5"/>
      <c r="B134" s="48"/>
      <c r="C134" s="48"/>
      <c r="D134" s="48"/>
      <c r="E134" s="48"/>
      <c r="F134" s="48"/>
      <c r="G134" s="5"/>
      <c r="H134" s="5"/>
      <c r="I134" s="48"/>
      <c r="J134" s="48"/>
      <c r="K134" s="48"/>
      <c r="L134" s="48"/>
      <c r="M134" s="48"/>
      <c r="N134" s="48"/>
      <c r="O134" s="5"/>
    </row>
    <row r="135" spans="1:15" x14ac:dyDescent="0.25">
      <c r="A135" s="5"/>
      <c r="B135" s="48"/>
      <c r="C135" s="48"/>
      <c r="D135" s="48"/>
      <c r="E135" s="48"/>
      <c r="F135" s="48"/>
      <c r="G135" s="5"/>
      <c r="H135" s="5"/>
      <c r="O135" s="5"/>
    </row>
    <row r="136" spans="1:15" x14ac:dyDescent="0.25">
      <c r="A136" s="5"/>
      <c r="B136" s="48"/>
      <c r="C136" s="48"/>
      <c r="D136" s="48"/>
      <c r="E136" s="48"/>
      <c r="F136" s="48"/>
      <c r="G136" s="5"/>
      <c r="H136" s="5"/>
      <c r="O136" s="5"/>
    </row>
    <row r="137" spans="1:15" x14ac:dyDescent="0.25">
      <c r="A137" s="5"/>
      <c r="G137" s="5"/>
      <c r="H137" s="5"/>
      <c r="O137" s="5"/>
    </row>
    <row r="138" spans="1:15" x14ac:dyDescent="0.25">
      <c r="A138" s="5"/>
      <c r="G138" s="5"/>
      <c r="H138" s="5"/>
      <c r="O138" s="5"/>
    </row>
    <row r="139" spans="1:15" x14ac:dyDescent="0.25">
      <c r="A139" s="5"/>
      <c r="G139" s="5"/>
      <c r="H139" s="5"/>
      <c r="O139" s="5"/>
    </row>
    <row r="140" spans="1:15" x14ac:dyDescent="0.25">
      <c r="A140" s="5"/>
      <c r="G140" s="5"/>
      <c r="H140" s="5"/>
      <c r="O140" s="5"/>
    </row>
    <row r="141" spans="1:15" x14ac:dyDescent="0.25">
      <c r="A141" s="5"/>
      <c r="G141" s="5"/>
      <c r="H141" s="5"/>
      <c r="O141" s="5"/>
    </row>
    <row r="142" spans="1:15" x14ac:dyDescent="0.25">
      <c r="A142" s="5"/>
      <c r="G142" s="5"/>
      <c r="H142" s="5"/>
      <c r="O142" s="5"/>
    </row>
    <row r="143" spans="1:15" x14ac:dyDescent="0.25">
      <c r="A143" s="5"/>
      <c r="G143" s="48"/>
      <c r="H143" s="5"/>
      <c r="O143" s="5"/>
    </row>
    <row r="144" spans="1:15" x14ac:dyDescent="0.25">
      <c r="A144" s="5"/>
      <c r="G144" s="48"/>
      <c r="H144" s="5"/>
      <c r="O144" s="5"/>
    </row>
    <row r="145" spans="1:15" x14ac:dyDescent="0.25">
      <c r="A145" s="5"/>
      <c r="G145" s="48"/>
      <c r="H145" s="5"/>
      <c r="O145" s="5"/>
    </row>
    <row r="146" spans="1:15" x14ac:dyDescent="0.25">
      <c r="A146" s="48"/>
      <c r="G146" s="48"/>
      <c r="H146" s="48"/>
      <c r="O146" s="48"/>
    </row>
    <row r="147" spans="1:15" x14ac:dyDescent="0.25">
      <c r="A147" s="48"/>
      <c r="H147" s="48"/>
      <c r="O147" s="48"/>
    </row>
    <row r="148" spans="1:15" x14ac:dyDescent="0.25">
      <c r="A148" s="48"/>
      <c r="H148" s="48"/>
      <c r="O148" s="48"/>
    </row>
    <row r="149" spans="1:15" x14ac:dyDescent="0.25">
      <c r="A149" s="48"/>
      <c r="H149" s="48"/>
      <c r="O149" s="48"/>
    </row>
  </sheetData>
  <sheetProtection formatCells="0" formatColumns="0" formatRows="0" insertColumns="0" insertRows="0" insertHyperlinks="0" deleteColumns="0" deleteRows="0" sort="0" autoFilter="0" pivotTables="0"/>
  <mergeCells count="111">
    <mergeCell ref="R90:S90"/>
    <mergeCell ref="P51:S51"/>
    <mergeCell ref="P79:U79"/>
    <mergeCell ref="I72:N72"/>
    <mergeCell ref="I79:N79"/>
    <mergeCell ref="B72:G73"/>
    <mergeCell ref="A83:C83"/>
    <mergeCell ref="D83:E83"/>
    <mergeCell ref="F83:G83"/>
    <mergeCell ref="B85:D85"/>
    <mergeCell ref="A81:C81"/>
    <mergeCell ref="D81:E81"/>
    <mergeCell ref="F81:G81"/>
    <mergeCell ref="A82:C82"/>
    <mergeCell ref="D82:E82"/>
    <mergeCell ref="F82:G82"/>
    <mergeCell ref="A79:C79"/>
    <mergeCell ref="D79:E79"/>
    <mergeCell ref="F79:G79"/>
    <mergeCell ref="A80:C80"/>
    <mergeCell ref="D80:E80"/>
    <mergeCell ref="F80:G80"/>
    <mergeCell ref="A77:C77"/>
    <mergeCell ref="D77:E77"/>
    <mergeCell ref="F77:G77"/>
    <mergeCell ref="A78:C78"/>
    <mergeCell ref="D78:E78"/>
    <mergeCell ref="F78:G78"/>
    <mergeCell ref="A75:C75"/>
    <mergeCell ref="D75:E75"/>
    <mergeCell ref="F75:G75"/>
    <mergeCell ref="A76:C76"/>
    <mergeCell ref="D76:E76"/>
    <mergeCell ref="F76:G76"/>
    <mergeCell ref="B68:F68"/>
    <mergeCell ref="A69:G69"/>
    <mergeCell ref="A70:G70"/>
    <mergeCell ref="A74:C74"/>
    <mergeCell ref="D74:E74"/>
    <mergeCell ref="F74:G74"/>
    <mergeCell ref="J60:J62"/>
    <mergeCell ref="M60:M62"/>
    <mergeCell ref="N60:N62"/>
    <mergeCell ref="O60:O62"/>
    <mergeCell ref="H61:H62"/>
    <mergeCell ref="I61:I62"/>
    <mergeCell ref="A55:G55"/>
    <mergeCell ref="A56:G56"/>
    <mergeCell ref="A59:O59"/>
    <mergeCell ref="A60:A62"/>
    <mergeCell ref="B60:C61"/>
    <mergeCell ref="D60:D62"/>
    <mergeCell ref="E60:E62"/>
    <mergeCell ref="F60:F62"/>
    <mergeCell ref="G60:G62"/>
    <mergeCell ref="H60:I60"/>
    <mergeCell ref="M48:M50"/>
    <mergeCell ref="N48:N50"/>
    <mergeCell ref="O48:O50"/>
    <mergeCell ref="H49:H50"/>
    <mergeCell ref="I49:I50"/>
    <mergeCell ref="A45:G45"/>
    <mergeCell ref="A47:M47"/>
    <mergeCell ref="A48:A50"/>
    <mergeCell ref="B48:C49"/>
    <mergeCell ref="D48:D50"/>
    <mergeCell ref="E48:E50"/>
    <mergeCell ref="F48:F50"/>
    <mergeCell ref="G48:G50"/>
    <mergeCell ref="H48:I48"/>
    <mergeCell ref="J48:J50"/>
    <mergeCell ref="N28:N30"/>
    <mergeCell ref="O28:O30"/>
    <mergeCell ref="H29:H30"/>
    <mergeCell ref="I29:I30"/>
    <mergeCell ref="B43:F43"/>
    <mergeCell ref="A44:G44"/>
    <mergeCell ref="A27:M27"/>
    <mergeCell ref="A28:A30"/>
    <mergeCell ref="B28:C29"/>
    <mergeCell ref="D28:D30"/>
    <mergeCell ref="E28:E30"/>
    <mergeCell ref="F28:F30"/>
    <mergeCell ref="G28:G30"/>
    <mergeCell ref="H28:I28"/>
    <mergeCell ref="J28:J30"/>
    <mergeCell ref="M28:M30"/>
    <mergeCell ref="P73:U73"/>
    <mergeCell ref="I86:N86"/>
    <mergeCell ref="A1:O1"/>
    <mergeCell ref="A3:O3"/>
    <mergeCell ref="A4:O4"/>
    <mergeCell ref="A6:O6"/>
    <mergeCell ref="A8:N9"/>
    <mergeCell ref="A11:N11"/>
    <mergeCell ref="N15:N17"/>
    <mergeCell ref="O15:O17"/>
    <mergeCell ref="I16:I17"/>
    <mergeCell ref="B23:F23"/>
    <mergeCell ref="A24:G24"/>
    <mergeCell ref="A25:G25"/>
    <mergeCell ref="A14:O14"/>
    <mergeCell ref="A15:A17"/>
    <mergeCell ref="B15:C16"/>
    <mergeCell ref="D15:D17"/>
    <mergeCell ref="E15:E17"/>
    <mergeCell ref="F15:F17"/>
    <mergeCell ref="G15:G17"/>
    <mergeCell ref="H15:I15"/>
    <mergeCell ref="J15:J17"/>
    <mergeCell ref="M15:M17"/>
  </mergeCells>
  <phoneticPr fontId="20" type="noConversion"/>
  <conditionalFormatting sqref="J75:M77">
    <cfRule type="dataBar" priority="9">
      <dataBar>
        <cfvo type="min"/>
        <cfvo type="max"/>
        <color rgb="FF63C384"/>
      </dataBar>
      <extLst>
        <ext xmlns:x14="http://schemas.microsoft.com/office/spreadsheetml/2009/9/main" uri="{B025F937-C7B1-47D3-B67F-A62EFF666E3E}">
          <x14:id>{498F7C59-82BC-4D10-A0C1-223D94363B8F}</x14:id>
        </ext>
      </extLst>
    </cfRule>
  </conditionalFormatting>
  <conditionalFormatting sqref="J88:M93">
    <cfRule type="dataBar" priority="2">
      <dataBar>
        <cfvo type="min"/>
        <cfvo type="max"/>
        <color rgb="FFFF555A"/>
      </dataBar>
      <extLst>
        <ext xmlns:x14="http://schemas.microsoft.com/office/spreadsheetml/2009/9/main" uri="{B025F937-C7B1-47D3-B67F-A62EFF666E3E}">
          <x14:id>{CD1D7F94-9494-4CEC-9951-D55B0D23C490}</x14:id>
        </ext>
      </extLst>
    </cfRule>
  </conditionalFormatting>
  <conditionalFormatting sqref="J75:N77">
    <cfRule type="dataBar" priority="4">
      <dataBar>
        <cfvo type="min"/>
        <cfvo type="max"/>
        <color rgb="FF638EC6"/>
      </dataBar>
      <extLst>
        <ext xmlns:x14="http://schemas.microsoft.com/office/spreadsheetml/2009/9/main" uri="{B025F937-C7B1-47D3-B67F-A62EFF666E3E}">
          <x14:id>{6031229A-5421-47D8-A94C-C2B3E3DA5882}</x14:id>
        </ext>
      </extLst>
    </cfRule>
    <cfRule type="colorScale" priority="5">
      <colorScale>
        <cfvo type="min"/>
        <cfvo type="max"/>
        <color rgb="FFFCFCFF"/>
        <color rgb="FF63BE7B"/>
      </colorScale>
    </cfRule>
    <cfRule type="top10" dxfId="3" priority="6" rank="5"/>
    <cfRule type="colorScale" priority="8">
      <colorScale>
        <cfvo type="min"/>
        <cfvo type="percentile" val="50"/>
        <cfvo type="max"/>
        <color rgb="FFF8696B"/>
        <color rgb="FFFFEB84"/>
        <color rgb="FF63BE7B"/>
      </colorScale>
    </cfRule>
  </conditionalFormatting>
  <conditionalFormatting sqref="J81:N83">
    <cfRule type="dataBar" priority="3">
      <dataBar>
        <cfvo type="min"/>
        <cfvo type="max"/>
        <color rgb="FF63C384"/>
      </dataBar>
      <extLst>
        <ext xmlns:x14="http://schemas.microsoft.com/office/spreadsheetml/2009/9/main" uri="{B025F937-C7B1-47D3-B67F-A62EFF666E3E}">
          <x14:id>{162BCC51-6DCA-43EE-917C-2E1CBB63C66B}</x14:id>
        </ext>
      </extLst>
    </cfRule>
  </conditionalFormatting>
  <conditionalFormatting sqref="J88:N93">
    <cfRule type="colorScale" priority="1">
      <colorScale>
        <cfvo type="min"/>
        <cfvo type="max"/>
        <color rgb="FFFCFCFF"/>
        <color rgb="FF63BE7B"/>
      </colorScale>
    </cfRule>
  </conditionalFormatting>
  <conditionalFormatting sqref="K76">
    <cfRule type="dataBar" priority="7">
      <dataBar>
        <cfvo type="min"/>
        <cfvo type="max"/>
        <color rgb="FFFFB628"/>
      </dataBar>
      <extLst>
        <ext xmlns:x14="http://schemas.microsoft.com/office/spreadsheetml/2009/9/main" uri="{B025F937-C7B1-47D3-B67F-A62EFF666E3E}">
          <x14:id>{4CD5231F-53A6-411A-A279-BFE368AD565B}</x14:id>
        </ext>
      </extLst>
    </cfRule>
  </conditionalFormatting>
  <conditionalFormatting sqref="Q75:T77">
    <cfRule type="dataBar" priority="26">
      <dataBar>
        <cfvo type="min"/>
        <cfvo type="max"/>
        <color rgb="FF63C384"/>
      </dataBar>
      <extLst>
        <ext xmlns:x14="http://schemas.microsoft.com/office/spreadsheetml/2009/9/main" uri="{B025F937-C7B1-47D3-B67F-A62EFF666E3E}">
          <x14:id>{1C4092DD-7F0E-4469-BBA3-0650B30A62AA}</x14:id>
        </ext>
      </extLst>
    </cfRule>
  </conditionalFormatting>
  <conditionalFormatting sqref="Q81:T86">
    <cfRule type="dataBar" priority="31">
      <dataBar>
        <cfvo type="min"/>
        <cfvo type="max"/>
        <color rgb="FF63C384"/>
      </dataBar>
      <extLst>
        <ext xmlns:x14="http://schemas.microsoft.com/office/spreadsheetml/2009/9/main" uri="{B025F937-C7B1-47D3-B67F-A62EFF666E3E}">
          <x14:id>{2A56D406-7169-438F-9B55-C03BDA56096C}</x14:id>
        </ext>
      </extLst>
    </cfRule>
  </conditionalFormatting>
  <conditionalFormatting sqref="Q87:U87">
    <cfRule type="colorScale" priority="17">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scale="47" fitToHeight="0" orientation="landscape" r:id="rId1"/>
  <rowBreaks count="2" manualBreakCount="2">
    <brk id="45" max="16383" man="1"/>
    <brk id="70"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498F7C59-82BC-4D10-A0C1-223D94363B8F}">
            <x14:dataBar minLength="0" maxLength="100" border="1" negativeBarBorderColorSameAsPositive="0">
              <x14:cfvo type="autoMin"/>
              <x14:cfvo type="autoMax"/>
              <x14:borderColor rgb="FF63C384"/>
              <x14:negativeFillColor rgb="FFFF0000"/>
              <x14:negativeBorderColor rgb="FFFF0000"/>
              <x14:axisColor rgb="FF000000"/>
            </x14:dataBar>
          </x14:cfRule>
          <xm:sqref>J75:M77</xm:sqref>
        </x14:conditionalFormatting>
        <x14:conditionalFormatting xmlns:xm="http://schemas.microsoft.com/office/excel/2006/main">
          <x14:cfRule type="dataBar" id="{CD1D7F94-9494-4CEC-9951-D55B0D23C490}">
            <x14:dataBar minLength="0" maxLength="100" border="1" negativeBarBorderColorSameAsPositive="0">
              <x14:cfvo type="autoMin"/>
              <x14:cfvo type="autoMax"/>
              <x14:borderColor rgb="FFFF555A"/>
              <x14:negativeFillColor rgb="FFFF0000"/>
              <x14:negativeBorderColor rgb="FFFF0000"/>
              <x14:axisColor rgb="FF000000"/>
            </x14:dataBar>
          </x14:cfRule>
          <xm:sqref>J88:M93</xm:sqref>
        </x14:conditionalFormatting>
        <x14:conditionalFormatting xmlns:xm="http://schemas.microsoft.com/office/excel/2006/main">
          <x14:cfRule type="dataBar" id="{6031229A-5421-47D8-A94C-C2B3E3DA5882}">
            <x14:dataBar minLength="0" maxLength="100" border="1" negativeBarBorderColorSameAsPositive="0">
              <x14:cfvo type="autoMin"/>
              <x14:cfvo type="autoMax"/>
              <x14:borderColor rgb="FF638EC6"/>
              <x14:negativeFillColor rgb="FFFF0000"/>
              <x14:negativeBorderColor rgb="FFFF0000"/>
              <x14:axisColor rgb="FF000000"/>
            </x14:dataBar>
          </x14:cfRule>
          <xm:sqref>J75:N77</xm:sqref>
        </x14:conditionalFormatting>
        <x14:conditionalFormatting xmlns:xm="http://schemas.microsoft.com/office/excel/2006/main">
          <x14:cfRule type="dataBar" id="{162BCC51-6DCA-43EE-917C-2E1CBB63C66B}">
            <x14:dataBar minLength="0" maxLength="100" border="1" negativeBarBorderColorSameAsPositive="0">
              <x14:cfvo type="autoMin"/>
              <x14:cfvo type="autoMax"/>
              <x14:borderColor rgb="FF63C384"/>
              <x14:negativeFillColor rgb="FFFF0000"/>
              <x14:negativeBorderColor rgb="FFFF0000"/>
              <x14:axisColor rgb="FF000000"/>
            </x14:dataBar>
          </x14:cfRule>
          <xm:sqref>J81:N83</xm:sqref>
        </x14:conditionalFormatting>
        <x14:conditionalFormatting xmlns:xm="http://schemas.microsoft.com/office/excel/2006/main">
          <x14:cfRule type="dataBar" id="{4CD5231F-53A6-411A-A279-BFE368AD565B}">
            <x14:dataBar minLength="0" maxLength="100" border="1" negativeBarBorderColorSameAsPositive="0">
              <x14:cfvo type="autoMin"/>
              <x14:cfvo type="autoMax"/>
              <x14:borderColor rgb="FFFFB628"/>
              <x14:negativeFillColor rgb="FFFF0000"/>
              <x14:negativeBorderColor rgb="FFFF0000"/>
              <x14:axisColor rgb="FF000000"/>
            </x14:dataBar>
          </x14:cfRule>
          <xm:sqref>K76</xm:sqref>
        </x14:conditionalFormatting>
        <x14:conditionalFormatting xmlns:xm="http://schemas.microsoft.com/office/excel/2006/main">
          <x14:cfRule type="dataBar" id="{1C4092DD-7F0E-4469-BBA3-0650B30A62AA}">
            <x14:dataBar minLength="0" maxLength="100" border="1" negativeBarBorderColorSameAsPositive="0">
              <x14:cfvo type="autoMin"/>
              <x14:cfvo type="autoMax"/>
              <x14:borderColor rgb="FF63C384"/>
              <x14:negativeFillColor rgb="FFFF0000"/>
              <x14:negativeBorderColor rgb="FFFF0000"/>
              <x14:axisColor rgb="FF000000"/>
            </x14:dataBar>
          </x14:cfRule>
          <xm:sqref>Q75:T77</xm:sqref>
        </x14:conditionalFormatting>
        <x14:conditionalFormatting xmlns:xm="http://schemas.microsoft.com/office/excel/2006/main">
          <x14:cfRule type="dataBar" id="{2A56D406-7169-438F-9B55-C03BDA56096C}">
            <x14:dataBar minLength="0" maxLength="100" border="1" negativeBarBorderColorSameAsPositive="0">
              <x14:cfvo type="autoMin"/>
              <x14:cfvo type="autoMax"/>
              <x14:borderColor rgb="FF63C384"/>
              <x14:negativeFillColor rgb="FFFF0000"/>
              <x14:negativeBorderColor rgb="FFFF0000"/>
              <x14:axisColor rgb="FF000000"/>
            </x14:dataBar>
          </x14:cfRule>
          <xm:sqref>Q81:T86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9B9C-847C-4B15-A2DE-348996A2F79D}">
  <dimension ref="A1:V151"/>
  <sheetViews>
    <sheetView topLeftCell="A4" zoomScale="70" zoomScaleNormal="70" zoomScaleSheetLayoutView="70" workbookViewId="0">
      <selection activeCell="B22" sqref="B22"/>
    </sheetView>
  </sheetViews>
  <sheetFormatPr baseColWidth="10" defaultColWidth="11.42578125" defaultRowHeight="15" x14ac:dyDescent="0.25"/>
  <cols>
    <col min="1" max="1" width="5.42578125" customWidth="1"/>
    <col min="2" max="2" width="20.140625" customWidth="1"/>
    <col min="3" max="3" width="43.42578125" customWidth="1"/>
    <col min="4" max="4" width="19.140625" customWidth="1"/>
    <col min="5" max="5" width="17.140625" customWidth="1"/>
    <col min="6" max="6" width="20.140625" customWidth="1"/>
    <col min="7" max="8" width="14.28515625" customWidth="1"/>
    <col min="9" max="9" width="18" customWidth="1"/>
    <col min="10" max="10" width="20" customWidth="1"/>
    <col min="11" max="11" width="18" customWidth="1"/>
    <col min="12" max="12" width="20.42578125" customWidth="1"/>
    <col min="13" max="13" width="19.7109375" customWidth="1"/>
    <col min="14" max="14" width="19.85546875" customWidth="1"/>
    <col min="15" max="15" width="17.7109375" customWidth="1"/>
    <col min="16" max="16" width="22.85546875" style="149" customWidth="1"/>
    <col min="17" max="17" width="16.5703125" customWidth="1"/>
    <col min="18" max="18" width="15" customWidth="1"/>
    <col min="19" max="19" width="17" customWidth="1"/>
    <col min="20" max="20" width="17.28515625" customWidth="1"/>
    <col min="21" max="21" width="17.5703125" customWidth="1"/>
  </cols>
  <sheetData>
    <row r="1" spans="1:22" x14ac:dyDescent="0.25">
      <c r="A1" s="769" t="s">
        <v>0</v>
      </c>
      <c r="B1" s="769"/>
      <c r="C1" s="769"/>
      <c r="D1" s="769"/>
      <c r="E1" s="769"/>
      <c r="F1" s="769"/>
      <c r="G1" s="769"/>
      <c r="H1" s="769"/>
      <c r="I1" s="769"/>
      <c r="J1" s="769"/>
      <c r="K1" s="769"/>
      <c r="L1" s="769"/>
      <c r="M1" s="769"/>
      <c r="N1" s="769"/>
      <c r="O1" s="769"/>
      <c r="P1" s="333"/>
      <c r="Q1" s="44"/>
      <c r="R1" s="44"/>
      <c r="S1" s="44"/>
      <c r="T1" s="44"/>
      <c r="U1" s="44"/>
      <c r="V1" s="44"/>
    </row>
    <row r="2" spans="1:22" ht="6.75" customHeight="1" x14ac:dyDescent="0.25">
      <c r="A2" s="343"/>
      <c r="B2" s="343"/>
      <c r="C2" s="343"/>
      <c r="D2" s="343"/>
      <c r="E2" s="343"/>
      <c r="F2" s="343"/>
      <c r="G2" s="343"/>
      <c r="H2" s="343"/>
      <c r="I2" s="343"/>
      <c r="J2" s="343"/>
      <c r="K2" s="343"/>
      <c r="L2" s="343"/>
      <c r="M2" s="343"/>
      <c r="N2" s="343"/>
      <c r="O2" s="343"/>
      <c r="P2" s="333"/>
      <c r="Q2" s="44"/>
      <c r="R2" s="44"/>
      <c r="S2" s="44"/>
      <c r="T2" s="44"/>
      <c r="U2" s="44"/>
      <c r="V2" s="44"/>
    </row>
    <row r="3" spans="1:22" x14ac:dyDescent="0.25">
      <c r="A3" s="770" t="s">
        <v>1</v>
      </c>
      <c r="B3" s="770"/>
      <c r="C3" s="770"/>
      <c r="D3" s="770"/>
      <c r="E3" s="770"/>
      <c r="F3" s="770"/>
      <c r="G3" s="770"/>
      <c r="H3" s="770"/>
      <c r="I3" s="770"/>
      <c r="J3" s="770"/>
      <c r="K3" s="770"/>
      <c r="L3" s="770"/>
      <c r="M3" s="770"/>
      <c r="N3" s="770"/>
      <c r="O3" s="770"/>
      <c r="P3" s="333"/>
      <c r="Q3" s="44"/>
      <c r="R3" s="44"/>
      <c r="S3" s="44"/>
      <c r="T3" s="44"/>
      <c r="U3" s="44"/>
      <c r="V3" s="44"/>
    </row>
    <row r="4" spans="1:22" x14ac:dyDescent="0.25">
      <c r="A4" s="770" t="s">
        <v>2</v>
      </c>
      <c r="B4" s="770"/>
      <c r="C4" s="770"/>
      <c r="D4" s="770"/>
      <c r="E4" s="770"/>
      <c r="F4" s="770"/>
      <c r="G4" s="770"/>
      <c r="H4" s="770"/>
      <c r="I4" s="770"/>
      <c r="J4" s="770"/>
      <c r="K4" s="770"/>
      <c r="L4" s="770"/>
      <c r="M4" s="770"/>
      <c r="N4" s="770"/>
      <c r="O4" s="770"/>
      <c r="P4" s="333"/>
      <c r="Q4" s="44"/>
      <c r="R4" s="44"/>
      <c r="S4" s="44"/>
      <c r="T4" s="44"/>
      <c r="U4" s="44"/>
      <c r="V4" s="44"/>
    </row>
    <row r="5" spans="1:22" ht="6" customHeight="1" x14ac:dyDescent="0.25">
      <c r="A5" s="344"/>
      <c r="B5" s="344"/>
      <c r="C5" s="344"/>
      <c r="D5" s="344"/>
      <c r="E5" s="344"/>
      <c r="F5" s="344"/>
      <c r="G5" s="344"/>
      <c r="H5" s="344"/>
      <c r="I5" s="344"/>
      <c r="J5" s="344"/>
      <c r="K5" s="344"/>
      <c r="L5" s="344"/>
      <c r="M5" s="344"/>
      <c r="N5" s="344"/>
      <c r="O5" s="344"/>
      <c r="P5" s="333"/>
      <c r="Q5" s="44"/>
      <c r="R5" s="44"/>
      <c r="S5" s="44"/>
      <c r="T5" s="44"/>
      <c r="U5" s="44"/>
      <c r="V5" s="44"/>
    </row>
    <row r="6" spans="1:22" x14ac:dyDescent="0.25">
      <c r="A6" s="770" t="s">
        <v>3</v>
      </c>
      <c r="B6" s="770"/>
      <c r="C6" s="770"/>
      <c r="D6" s="770"/>
      <c r="E6" s="770"/>
      <c r="F6" s="770"/>
      <c r="G6" s="770"/>
      <c r="H6" s="770"/>
      <c r="I6" s="770"/>
      <c r="J6" s="770"/>
      <c r="K6" s="770"/>
      <c r="L6" s="770"/>
      <c r="M6" s="770"/>
      <c r="N6" s="770"/>
      <c r="O6" s="770"/>
      <c r="P6" s="333"/>
      <c r="Q6" s="44"/>
      <c r="R6" s="44"/>
      <c r="S6" s="44"/>
      <c r="T6" s="44"/>
      <c r="U6" s="44"/>
      <c r="V6" s="44"/>
    </row>
    <row r="7" spans="1:22" ht="8.25" customHeight="1" x14ac:dyDescent="0.25">
      <c r="A7" s="344"/>
      <c r="B7" s="344"/>
      <c r="C7" s="344"/>
      <c r="D7" s="344"/>
      <c r="E7" s="344"/>
      <c r="F7" s="344"/>
      <c r="G7" s="344"/>
      <c r="H7" s="344"/>
      <c r="I7" s="344"/>
      <c r="J7" s="344"/>
      <c r="K7" s="344"/>
      <c r="L7" s="344"/>
      <c r="M7" s="344"/>
      <c r="N7" s="344"/>
      <c r="O7" s="344"/>
      <c r="P7" s="333"/>
      <c r="Q7" s="44"/>
      <c r="R7" s="44"/>
      <c r="S7" s="44"/>
      <c r="T7" s="44"/>
      <c r="U7" s="44"/>
      <c r="V7" s="44"/>
    </row>
    <row r="8" spans="1:22" ht="18" customHeight="1" x14ac:dyDescent="0.25">
      <c r="A8" s="771" t="s">
        <v>4</v>
      </c>
      <c r="B8" s="771"/>
      <c r="C8" s="771"/>
      <c r="D8" s="771"/>
      <c r="E8" s="771"/>
      <c r="F8" s="771"/>
      <c r="G8" s="771"/>
      <c r="H8" s="771"/>
      <c r="I8" s="771"/>
      <c r="J8" s="771"/>
      <c r="K8" s="771"/>
      <c r="L8" s="771"/>
      <c r="M8" s="771"/>
      <c r="N8" s="771"/>
      <c r="O8" s="345"/>
      <c r="P8" s="333"/>
      <c r="Q8" s="44"/>
      <c r="R8" s="44"/>
      <c r="S8" s="44"/>
      <c r="T8" s="44"/>
      <c r="U8" s="44"/>
      <c r="V8" s="44"/>
    </row>
    <row r="9" spans="1:22" ht="18" customHeight="1" x14ac:dyDescent="0.25">
      <c r="A9" s="771"/>
      <c r="B9" s="771"/>
      <c r="C9" s="771"/>
      <c r="D9" s="771"/>
      <c r="E9" s="771"/>
      <c r="F9" s="771"/>
      <c r="G9" s="771"/>
      <c r="H9" s="771"/>
      <c r="I9" s="771"/>
      <c r="J9" s="771"/>
      <c r="K9" s="771"/>
      <c r="L9" s="771"/>
      <c r="M9" s="771"/>
      <c r="N9" s="771"/>
      <c r="O9" s="345"/>
      <c r="P9" s="333"/>
      <c r="Q9" s="44"/>
      <c r="R9" s="44"/>
      <c r="S9" s="44"/>
      <c r="T9" s="44"/>
      <c r="U9" s="44"/>
      <c r="V9" s="44"/>
    </row>
    <row r="10" spans="1:22" ht="18" customHeight="1" x14ac:dyDescent="0.25">
      <c r="A10" s="345"/>
      <c r="B10" s="345"/>
      <c r="C10" s="345"/>
      <c r="D10" s="345"/>
      <c r="E10" s="345"/>
      <c r="F10" s="345"/>
      <c r="G10" s="377"/>
      <c r="H10" s="345"/>
      <c r="I10" s="345"/>
      <c r="J10" s="345"/>
      <c r="K10" s="345"/>
      <c r="L10" s="345"/>
      <c r="M10" s="345"/>
      <c r="N10" s="377"/>
      <c r="O10" s="345"/>
      <c r="P10" s="333"/>
      <c r="Q10" s="44"/>
      <c r="R10" s="44"/>
      <c r="S10" s="44"/>
      <c r="T10" s="44"/>
      <c r="U10" s="44"/>
      <c r="V10" s="44"/>
    </row>
    <row r="11" spans="1:22" ht="18" customHeight="1" x14ac:dyDescent="0.25">
      <c r="A11" s="772" t="s">
        <v>139</v>
      </c>
      <c r="B11" s="772"/>
      <c r="C11" s="772"/>
      <c r="D11" s="772"/>
      <c r="E11" s="772"/>
      <c r="F11" s="772"/>
      <c r="G11" s="772"/>
      <c r="H11" s="772"/>
      <c r="I11" s="772"/>
      <c r="J11" s="772"/>
      <c r="K11" s="772"/>
      <c r="L11" s="772"/>
      <c r="M11" s="772"/>
      <c r="N11" s="772"/>
      <c r="O11" s="772"/>
      <c r="P11" s="333"/>
      <c r="Q11" s="44"/>
      <c r="R11" s="44"/>
      <c r="S11" s="44"/>
      <c r="T11" s="44"/>
      <c r="U11" s="44"/>
      <c r="V11" s="44"/>
    </row>
    <row r="12" spans="1:22" x14ac:dyDescent="0.25">
      <c r="A12" s="5"/>
      <c r="B12" s="5"/>
      <c r="C12" s="5"/>
      <c r="D12" s="5"/>
      <c r="E12" s="5"/>
      <c r="F12" s="5"/>
      <c r="G12" s="5"/>
      <c r="H12" s="5"/>
      <c r="I12" s="5"/>
      <c r="J12" s="5"/>
      <c r="K12" s="5"/>
      <c r="L12" s="5"/>
      <c r="M12" s="5"/>
      <c r="N12" s="5"/>
      <c r="O12" s="5"/>
      <c r="P12" s="333"/>
      <c r="Q12" s="44"/>
      <c r="R12" s="44"/>
      <c r="S12" s="44"/>
      <c r="T12" s="44"/>
      <c r="U12" s="44"/>
      <c r="V12" s="44"/>
    </row>
    <row r="13" spans="1:22" x14ac:dyDescent="0.25">
      <c r="A13" s="6"/>
      <c r="B13" s="6"/>
      <c r="C13" s="6"/>
      <c r="D13" s="6"/>
      <c r="E13" s="6"/>
      <c r="F13" s="6"/>
      <c r="G13" s="6"/>
      <c r="H13" s="6"/>
      <c r="I13" s="6"/>
      <c r="J13" s="6"/>
      <c r="K13" s="6"/>
      <c r="L13" s="6"/>
      <c r="M13" s="6"/>
      <c r="N13" s="6"/>
      <c r="O13" s="5"/>
      <c r="P13" s="333"/>
      <c r="Q13" s="44"/>
      <c r="R13" s="44"/>
      <c r="S13" s="44"/>
      <c r="T13" s="44"/>
      <c r="U13" s="44"/>
      <c r="V13" s="44"/>
    </row>
    <row r="14" spans="1:22" ht="15.75" customHeight="1" thickBot="1" x14ac:dyDescent="0.3">
      <c r="A14" s="698" t="s">
        <v>5</v>
      </c>
      <c r="B14" s="698"/>
      <c r="C14" s="698"/>
      <c r="D14" s="698"/>
      <c r="E14" s="698"/>
      <c r="F14" s="698"/>
      <c r="G14" s="698"/>
      <c r="H14" s="698"/>
      <c r="I14" s="698"/>
      <c r="J14" s="698"/>
      <c r="K14" s="698"/>
      <c r="L14" s="698"/>
      <c r="M14" s="698"/>
      <c r="N14" s="698"/>
      <c r="O14" s="698"/>
      <c r="P14" s="333"/>
      <c r="Q14" s="44"/>
      <c r="R14" s="44"/>
      <c r="S14" s="44"/>
      <c r="T14" s="44"/>
      <c r="U14" s="44"/>
      <c r="V14" s="44"/>
    </row>
    <row r="15" spans="1:22" ht="27" customHeight="1" thickBot="1" x14ac:dyDescent="0.3">
      <c r="A15" s="716" t="s">
        <v>6</v>
      </c>
      <c r="B15" s="779" t="s">
        <v>7</v>
      </c>
      <c r="C15" s="780"/>
      <c r="D15" s="773" t="s">
        <v>8</v>
      </c>
      <c r="E15" s="773" t="s">
        <v>9</v>
      </c>
      <c r="F15" s="773" t="s">
        <v>10</v>
      </c>
      <c r="G15" s="773" t="s">
        <v>11</v>
      </c>
      <c r="H15" s="779" t="s">
        <v>12</v>
      </c>
      <c r="I15" s="780"/>
      <c r="J15" s="773" t="s">
        <v>60</v>
      </c>
      <c r="K15" s="346"/>
      <c r="L15" s="346"/>
      <c r="M15" s="773" t="s">
        <v>13</v>
      </c>
      <c r="N15" s="773" t="s">
        <v>14</v>
      </c>
      <c r="O15" s="775" t="s">
        <v>15</v>
      </c>
      <c r="P15" s="333"/>
      <c r="Q15" s="44"/>
      <c r="R15" s="44"/>
      <c r="S15" s="44"/>
      <c r="T15" s="44"/>
      <c r="U15" s="44"/>
      <c r="V15" s="44"/>
    </row>
    <row r="16" spans="1:22" ht="5.25" customHeight="1" thickBot="1" x14ac:dyDescent="0.3">
      <c r="A16" s="778"/>
      <c r="B16" s="781"/>
      <c r="C16" s="782"/>
      <c r="D16" s="774"/>
      <c r="E16" s="774"/>
      <c r="F16" s="774"/>
      <c r="G16" s="783"/>
      <c r="H16" s="348" t="s">
        <v>16</v>
      </c>
      <c r="I16" s="773" t="s">
        <v>17</v>
      </c>
      <c r="J16" s="784"/>
      <c r="K16" s="349"/>
      <c r="L16" s="349"/>
      <c r="M16" s="784"/>
      <c r="N16" s="774"/>
      <c r="O16" s="776"/>
      <c r="P16" s="333"/>
      <c r="Q16" s="44"/>
      <c r="R16" s="44"/>
      <c r="S16" s="44"/>
      <c r="T16" s="44"/>
      <c r="U16" s="44"/>
      <c r="V16" s="44"/>
    </row>
    <row r="17" spans="1:22" ht="38.25" customHeight="1" thickBot="1" x14ac:dyDescent="0.3">
      <c r="A17" s="778"/>
      <c r="B17" s="346" t="s">
        <v>18</v>
      </c>
      <c r="C17" s="154" t="s">
        <v>19</v>
      </c>
      <c r="D17" s="774"/>
      <c r="E17" s="774"/>
      <c r="F17" s="774"/>
      <c r="G17" s="783"/>
      <c r="H17" s="376" t="s">
        <v>20</v>
      </c>
      <c r="I17" s="774"/>
      <c r="J17" s="784"/>
      <c r="K17" s="347" t="s">
        <v>21</v>
      </c>
      <c r="L17" s="347" t="s">
        <v>22</v>
      </c>
      <c r="M17" s="784"/>
      <c r="N17" s="774"/>
      <c r="O17" s="777"/>
      <c r="P17" s="334"/>
      <c r="Q17" s="335"/>
      <c r="R17" s="336"/>
      <c r="S17" s="337"/>
      <c r="T17" s="44"/>
      <c r="U17" s="44"/>
      <c r="V17" s="44"/>
    </row>
    <row r="18" spans="1:22" ht="49.5" customHeight="1" x14ac:dyDescent="0.25">
      <c r="A18" s="328">
        <v>1</v>
      </c>
      <c r="B18" s="106"/>
      <c r="C18" s="206" t="s">
        <v>193</v>
      </c>
      <c r="D18" s="50" t="s">
        <v>23</v>
      </c>
      <c r="E18" s="84" t="s">
        <v>194</v>
      </c>
      <c r="F18" s="50" t="s">
        <v>259</v>
      </c>
      <c r="G18" s="197">
        <v>16</v>
      </c>
      <c r="H18" s="52"/>
      <c r="I18" s="52"/>
      <c r="J18" s="53">
        <f>600000/2</f>
        <v>300000</v>
      </c>
      <c r="K18" s="53">
        <v>3500</v>
      </c>
      <c r="L18" s="53">
        <v>13125</v>
      </c>
      <c r="M18" s="198"/>
      <c r="N18" s="198"/>
      <c r="O18" s="198">
        <f t="shared" ref="O18:O25" si="0">M18+N18</f>
        <v>0</v>
      </c>
      <c r="P18" s="186"/>
      <c r="Q18" s="44"/>
      <c r="R18" s="44"/>
      <c r="S18" s="44"/>
      <c r="T18" s="44"/>
      <c r="U18" s="44"/>
    </row>
    <row r="19" spans="1:22" s="331" customFormat="1" ht="75.75" customHeight="1" x14ac:dyDescent="0.25">
      <c r="A19" s="248">
        <v>1</v>
      </c>
      <c r="B19" s="106" t="s">
        <v>208</v>
      </c>
      <c r="C19" s="206" t="s">
        <v>195</v>
      </c>
      <c r="D19" s="50" t="s">
        <v>23</v>
      </c>
      <c r="E19" s="84" t="s">
        <v>227</v>
      </c>
      <c r="F19" s="50" t="s">
        <v>205</v>
      </c>
      <c r="G19" s="197">
        <v>8</v>
      </c>
      <c r="H19" s="52"/>
      <c r="I19" s="52"/>
      <c r="J19" s="53">
        <v>280000</v>
      </c>
      <c r="K19" s="53">
        <v>2100</v>
      </c>
      <c r="L19" s="53">
        <v>4250</v>
      </c>
      <c r="M19" s="198"/>
      <c r="N19" s="198">
        <v>11215.12</v>
      </c>
      <c r="O19" s="198">
        <f t="shared" si="0"/>
        <v>11215.12</v>
      </c>
      <c r="P19" s="338"/>
      <c r="Q19" s="42"/>
      <c r="R19" s="42"/>
      <c r="S19" s="42"/>
      <c r="T19" s="42"/>
      <c r="U19" s="42"/>
    </row>
    <row r="20" spans="1:22" s="331" customFormat="1" ht="42.75" x14ac:dyDescent="0.25">
      <c r="A20" s="248">
        <v>0</v>
      </c>
      <c r="B20" s="106" t="s">
        <v>63</v>
      </c>
      <c r="C20" s="206" t="s">
        <v>196</v>
      </c>
      <c r="D20" s="50" t="s">
        <v>23</v>
      </c>
      <c r="E20" s="84">
        <v>45513</v>
      </c>
      <c r="F20" s="50" t="s">
        <v>204</v>
      </c>
      <c r="G20" s="197">
        <v>8</v>
      </c>
      <c r="H20" s="52"/>
      <c r="I20" s="52"/>
      <c r="J20" s="394">
        <v>650000</v>
      </c>
      <c r="K20" s="53">
        <v>2100</v>
      </c>
      <c r="L20" s="53">
        <v>4250</v>
      </c>
      <c r="M20" s="198">
        <v>32928.15</v>
      </c>
      <c r="N20" s="198">
        <v>11215.12</v>
      </c>
      <c r="O20" s="198">
        <f t="shared" si="0"/>
        <v>44143.270000000004</v>
      </c>
      <c r="P20" s="338"/>
      <c r="Q20" s="42"/>
      <c r="R20" s="42"/>
      <c r="S20" s="42"/>
      <c r="T20" s="42"/>
      <c r="U20" s="42"/>
    </row>
    <row r="21" spans="1:22" s="331" customFormat="1" ht="71.25" x14ac:dyDescent="0.25">
      <c r="A21" s="248">
        <v>1</v>
      </c>
      <c r="B21" s="106"/>
      <c r="C21" s="206" t="s">
        <v>228</v>
      </c>
      <c r="D21" s="50" t="s">
        <v>23</v>
      </c>
      <c r="E21" s="395" t="s">
        <v>214</v>
      </c>
      <c r="F21" s="50" t="s">
        <v>200</v>
      </c>
      <c r="G21" s="197">
        <v>16</v>
      </c>
      <c r="H21" s="52"/>
      <c r="I21" s="52"/>
      <c r="J21" s="394"/>
      <c r="K21" s="53">
        <v>3500</v>
      </c>
      <c r="L21" s="53">
        <v>8925</v>
      </c>
      <c r="M21" s="198"/>
      <c r="N21" s="198"/>
      <c r="O21" s="198">
        <f t="shared" si="0"/>
        <v>0</v>
      </c>
      <c r="P21" s="338"/>
      <c r="Q21" s="42"/>
      <c r="R21" s="42"/>
      <c r="S21" s="42"/>
      <c r="T21" s="42"/>
      <c r="U21" s="42"/>
    </row>
    <row r="22" spans="1:22" s="331" customFormat="1" ht="57" x14ac:dyDescent="0.25">
      <c r="A22" s="248">
        <v>1</v>
      </c>
      <c r="B22" s="106" t="s">
        <v>213</v>
      </c>
      <c r="C22" s="206" t="s">
        <v>199</v>
      </c>
      <c r="D22" s="50" t="s">
        <v>23</v>
      </c>
      <c r="E22" s="84" t="s">
        <v>197</v>
      </c>
      <c r="F22" s="50" t="s">
        <v>198</v>
      </c>
      <c r="G22" s="197">
        <v>16</v>
      </c>
      <c r="H22" s="52"/>
      <c r="I22" s="52"/>
      <c r="J22" s="394"/>
      <c r="K22" s="53">
        <v>4900</v>
      </c>
      <c r="L22" s="53">
        <v>8500</v>
      </c>
      <c r="M22" s="198">
        <f>51415.57+18147.18</f>
        <v>69562.75</v>
      </c>
      <c r="N22" s="198">
        <v>11215.12</v>
      </c>
      <c r="O22" s="198">
        <f t="shared" si="0"/>
        <v>80777.87</v>
      </c>
      <c r="P22" s="338"/>
      <c r="Q22" s="42"/>
      <c r="R22" s="42"/>
      <c r="S22" s="42"/>
      <c r="T22" s="42"/>
      <c r="U22" s="42"/>
    </row>
    <row r="23" spans="1:22" s="331" customFormat="1" ht="85.5" x14ac:dyDescent="0.25">
      <c r="A23" s="248">
        <v>1</v>
      </c>
      <c r="B23" s="106" t="s">
        <v>213</v>
      </c>
      <c r="C23" s="206" t="s">
        <v>202</v>
      </c>
      <c r="D23" s="50" t="s">
        <v>23</v>
      </c>
      <c r="E23" s="395">
        <v>45531</v>
      </c>
      <c r="F23" s="50" t="s">
        <v>201</v>
      </c>
      <c r="G23" s="197">
        <v>8</v>
      </c>
      <c r="H23" s="52"/>
      <c r="I23" s="52"/>
      <c r="J23" s="394"/>
      <c r="K23" s="53">
        <v>1700</v>
      </c>
      <c r="L23" s="53">
        <v>2750</v>
      </c>
      <c r="M23" s="198"/>
      <c r="N23" s="198">
        <v>10414.040000000001</v>
      </c>
      <c r="O23" s="198">
        <f t="shared" si="0"/>
        <v>10414.040000000001</v>
      </c>
      <c r="P23" s="338"/>
      <c r="Q23" s="42"/>
      <c r="R23" s="42"/>
      <c r="S23" s="42"/>
      <c r="T23" s="42"/>
      <c r="U23" s="42"/>
    </row>
    <row r="24" spans="1:22" s="331" customFormat="1" ht="48" customHeight="1" x14ac:dyDescent="0.25">
      <c r="A24" s="248">
        <v>1</v>
      </c>
      <c r="B24" s="106" t="s">
        <v>213</v>
      </c>
      <c r="C24" s="206" t="s">
        <v>203</v>
      </c>
      <c r="D24" s="50" t="s">
        <v>23</v>
      </c>
      <c r="E24" s="433" t="s">
        <v>229</v>
      </c>
      <c r="F24" s="50" t="s">
        <v>198</v>
      </c>
      <c r="G24" s="390">
        <v>8</v>
      </c>
      <c r="H24" s="52"/>
      <c r="I24" s="52"/>
      <c r="J24" s="394"/>
      <c r="K24" s="53">
        <v>2600</v>
      </c>
      <c r="L24" s="53">
        <v>6250</v>
      </c>
      <c r="M24" s="198"/>
      <c r="N24" s="198">
        <v>11215.12</v>
      </c>
      <c r="O24" s="198">
        <f t="shared" si="0"/>
        <v>11215.12</v>
      </c>
      <c r="P24" s="338"/>
      <c r="Q24" s="42"/>
      <c r="R24" s="42"/>
      <c r="S24" s="42"/>
      <c r="T24" s="42"/>
      <c r="U24" s="42"/>
    </row>
    <row r="25" spans="1:22" ht="43.5" thickBot="1" x14ac:dyDescent="0.3">
      <c r="A25" s="248">
        <v>0</v>
      </c>
      <c r="B25" s="106" t="s">
        <v>63</v>
      </c>
      <c r="C25" s="206" t="s">
        <v>206</v>
      </c>
      <c r="D25" s="50" t="s">
        <v>23</v>
      </c>
      <c r="E25" s="395">
        <v>45534</v>
      </c>
      <c r="F25" s="50" t="s">
        <v>207</v>
      </c>
      <c r="G25" s="197">
        <v>8</v>
      </c>
      <c r="H25" s="52"/>
      <c r="I25" s="52"/>
      <c r="J25" s="394"/>
      <c r="K25" s="53">
        <v>2600</v>
      </c>
      <c r="L25" s="53">
        <v>6250</v>
      </c>
      <c r="M25" s="198"/>
      <c r="N25" s="198">
        <v>10414.040000000001</v>
      </c>
      <c r="O25" s="198">
        <f t="shared" si="0"/>
        <v>10414.040000000001</v>
      </c>
      <c r="P25" s="180"/>
      <c r="Q25" s="339"/>
      <c r="R25" s="180">
        <f>P25+Q25</f>
        <v>0</v>
      </c>
      <c r="S25" s="44"/>
      <c r="T25" s="44"/>
      <c r="U25" s="44"/>
    </row>
    <row r="26" spans="1:22" ht="15.75" customHeight="1" thickBot="1" x14ac:dyDescent="0.3">
      <c r="A26" s="65">
        <f>SUM(A18:A25)</f>
        <v>6</v>
      </c>
      <c r="B26" s="697" t="s">
        <v>24</v>
      </c>
      <c r="C26" s="697"/>
      <c r="D26" s="697"/>
      <c r="E26" s="697"/>
      <c r="F26" s="697"/>
      <c r="G26" s="378">
        <f t="shared" ref="G26:O26" si="1">SUM(G18:G25)</f>
        <v>88</v>
      </c>
      <c r="H26" s="332">
        <f t="shared" si="1"/>
        <v>0</v>
      </c>
      <c r="I26" s="332">
        <f t="shared" si="1"/>
        <v>0</v>
      </c>
      <c r="J26" s="332">
        <f t="shared" si="1"/>
        <v>1230000</v>
      </c>
      <c r="K26" s="332">
        <f t="shared" si="1"/>
        <v>23000</v>
      </c>
      <c r="L26" s="332">
        <f t="shared" si="1"/>
        <v>54300</v>
      </c>
      <c r="M26" s="332">
        <f t="shared" si="1"/>
        <v>102490.9</v>
      </c>
      <c r="N26" s="378">
        <f t="shared" si="1"/>
        <v>65688.56</v>
      </c>
      <c r="O26" s="332">
        <f t="shared" si="1"/>
        <v>168179.46000000002</v>
      </c>
      <c r="P26" s="333"/>
      <c r="Q26" s="44"/>
      <c r="R26" s="44"/>
      <c r="S26" s="44"/>
      <c r="T26" s="44"/>
      <c r="U26" s="44"/>
      <c r="V26" s="44"/>
    </row>
    <row r="27" spans="1:22" ht="15.75" thickBot="1" x14ac:dyDescent="0.3">
      <c r="A27" s="695" t="s">
        <v>25</v>
      </c>
      <c r="B27" s="696"/>
      <c r="C27" s="696"/>
      <c r="D27" s="696"/>
      <c r="E27" s="696"/>
      <c r="F27" s="696"/>
      <c r="G27" s="696"/>
      <c r="H27" s="8"/>
      <c r="I27" s="8"/>
      <c r="J27" s="9"/>
      <c r="K27" s="9"/>
      <c r="L27" s="9"/>
      <c r="M27" s="10">
        <v>0</v>
      </c>
      <c r="N27" s="379">
        <f>N26*-0.1</f>
        <v>-6568.8559999999998</v>
      </c>
      <c r="O27" s="10">
        <f>N27</f>
        <v>-6568.8559999999998</v>
      </c>
      <c r="P27" s="333"/>
      <c r="Q27" s="44"/>
      <c r="R27" s="44"/>
      <c r="S27" s="44"/>
      <c r="T27" s="44"/>
      <c r="U27" s="44"/>
      <c r="V27" s="44"/>
    </row>
    <row r="28" spans="1:22" ht="16.5" customHeight="1" thickBot="1" x14ac:dyDescent="0.3">
      <c r="A28" s="697" t="s">
        <v>26</v>
      </c>
      <c r="B28" s="697"/>
      <c r="C28" s="697"/>
      <c r="D28" s="697"/>
      <c r="E28" s="697"/>
      <c r="F28" s="697"/>
      <c r="G28" s="697"/>
      <c r="H28" s="12"/>
      <c r="I28" s="12"/>
      <c r="J28" s="13"/>
      <c r="K28" s="13"/>
      <c r="L28" s="13"/>
      <c r="M28" s="10">
        <f>+M26+M27</f>
        <v>102490.9</v>
      </c>
      <c r="N28" s="379">
        <f>+N26+N27</f>
        <v>59119.703999999998</v>
      </c>
      <c r="O28" s="10">
        <f>+O26+O27</f>
        <v>161610.60400000002</v>
      </c>
      <c r="P28" s="333"/>
      <c r="Q28" s="44"/>
      <c r="R28" s="44"/>
      <c r="S28" s="44"/>
      <c r="T28" s="44"/>
      <c r="U28" s="44"/>
      <c r="V28" s="44"/>
    </row>
    <row r="29" spans="1:22" ht="23.25" customHeight="1" x14ac:dyDescent="0.25">
      <c r="A29" s="14"/>
      <c r="B29" s="14"/>
      <c r="C29" s="14"/>
      <c r="D29" s="14"/>
      <c r="E29" s="14"/>
      <c r="F29" s="14"/>
      <c r="G29" s="391"/>
      <c r="H29" s="15"/>
      <c r="I29" s="15"/>
      <c r="J29" s="16"/>
      <c r="K29" s="16"/>
      <c r="L29" s="16"/>
      <c r="M29" s="16"/>
      <c r="N29" s="380"/>
      <c r="O29" s="17"/>
      <c r="P29" s="333"/>
      <c r="Q29" s="151"/>
      <c r="R29" s="340"/>
      <c r="S29" s="44"/>
      <c r="T29" s="44"/>
      <c r="U29" s="44"/>
      <c r="V29" s="44"/>
    </row>
    <row r="30" spans="1:22" ht="26.25" customHeight="1" thickBot="1" x14ac:dyDescent="0.3">
      <c r="A30" s="711" t="s">
        <v>27</v>
      </c>
      <c r="B30" s="711"/>
      <c r="C30" s="711"/>
      <c r="D30" s="711"/>
      <c r="E30" s="711"/>
      <c r="F30" s="711"/>
      <c r="G30" s="711"/>
      <c r="H30" s="711"/>
      <c r="I30" s="711"/>
      <c r="J30" s="711"/>
      <c r="K30" s="711"/>
      <c r="L30" s="711"/>
      <c r="M30" s="711"/>
      <c r="N30" s="381"/>
      <c r="O30" s="18"/>
      <c r="P30" s="333"/>
      <c r="Q30" s="44"/>
      <c r="R30" s="44"/>
      <c r="S30" s="44"/>
      <c r="T30" s="44"/>
      <c r="U30" s="44"/>
      <c r="V30" s="44"/>
    </row>
    <row r="31" spans="1:22" ht="44.25" customHeight="1" thickBot="1" x14ac:dyDescent="0.3">
      <c r="A31" s="716" t="s">
        <v>6</v>
      </c>
      <c r="B31" s="779" t="s">
        <v>7</v>
      </c>
      <c r="C31" s="780"/>
      <c r="D31" s="773" t="s">
        <v>8</v>
      </c>
      <c r="E31" s="773" t="s">
        <v>9</v>
      </c>
      <c r="F31" s="773" t="s">
        <v>10</v>
      </c>
      <c r="G31" s="773" t="s">
        <v>28</v>
      </c>
      <c r="H31" s="779" t="s">
        <v>12</v>
      </c>
      <c r="I31" s="789"/>
      <c r="J31" s="773" t="s">
        <v>60</v>
      </c>
      <c r="K31" s="398" t="s">
        <v>21</v>
      </c>
      <c r="L31" s="396" t="s">
        <v>22</v>
      </c>
      <c r="M31" s="773" t="s">
        <v>13</v>
      </c>
      <c r="N31" s="773" t="s">
        <v>14</v>
      </c>
      <c r="O31" s="775" t="s">
        <v>15</v>
      </c>
      <c r="P31" s="333"/>
      <c r="Q31" s="44"/>
      <c r="R31" s="44"/>
      <c r="S31" s="44"/>
      <c r="T31" s="44"/>
      <c r="U31" s="44"/>
      <c r="V31" s="44"/>
    </row>
    <row r="32" spans="1:22" ht="79.5" customHeight="1" thickBot="1" x14ac:dyDescent="0.3">
      <c r="A32" s="778"/>
      <c r="B32" s="781"/>
      <c r="C32" s="782"/>
      <c r="D32" s="774"/>
      <c r="E32" s="774"/>
      <c r="F32" s="774"/>
      <c r="G32" s="783"/>
      <c r="H32" s="773" t="s">
        <v>20</v>
      </c>
      <c r="I32" s="779" t="s">
        <v>17</v>
      </c>
      <c r="J32" s="784"/>
      <c r="K32" s="399"/>
      <c r="L32" s="397"/>
      <c r="M32" s="784"/>
      <c r="N32" s="774"/>
      <c r="O32" s="776"/>
      <c r="P32" s="333"/>
      <c r="Q32" s="180"/>
      <c r="R32" s="44"/>
      <c r="S32" s="44"/>
      <c r="T32" s="44"/>
      <c r="U32" s="44"/>
      <c r="V32" s="44"/>
    </row>
    <row r="33" spans="1:22" ht="34.5" customHeight="1" thickBot="1" x14ac:dyDescent="0.3">
      <c r="A33" s="778"/>
      <c r="B33" s="329" t="s">
        <v>18</v>
      </c>
      <c r="C33" s="330" t="s">
        <v>19</v>
      </c>
      <c r="D33" s="785"/>
      <c r="E33" s="785"/>
      <c r="F33" s="785"/>
      <c r="G33" s="788"/>
      <c r="H33" s="774"/>
      <c r="I33" s="787"/>
      <c r="J33" s="784"/>
      <c r="K33" s="399"/>
      <c r="L33" s="397"/>
      <c r="M33" s="784"/>
      <c r="N33" s="785"/>
      <c r="O33" s="786"/>
      <c r="P33" s="333"/>
      <c r="Q33" s="186"/>
      <c r="R33" s="186"/>
      <c r="S33" s="186"/>
      <c r="T33" s="44"/>
      <c r="U33" s="44"/>
      <c r="V33" s="44"/>
    </row>
    <row r="34" spans="1:22" s="48" customFormat="1" ht="96.75" hidden="1" customHeight="1" x14ac:dyDescent="0.25">
      <c r="A34" s="400">
        <v>0</v>
      </c>
      <c r="B34" s="401" t="s">
        <v>93</v>
      </c>
      <c r="C34" s="402" t="s">
        <v>215</v>
      </c>
      <c r="D34" s="403" t="s">
        <v>29</v>
      </c>
      <c r="E34" s="403"/>
      <c r="F34" s="403" t="s">
        <v>94</v>
      </c>
      <c r="G34" s="404">
        <v>0</v>
      </c>
      <c r="H34" s="107"/>
      <c r="I34" s="107"/>
      <c r="J34" s="325">
        <v>650000</v>
      </c>
      <c r="K34" s="405"/>
      <c r="L34" s="406"/>
      <c r="M34" s="325"/>
      <c r="N34" s="407">
        <v>0</v>
      </c>
      <c r="O34" s="408">
        <f t="shared" ref="O34" si="2">SUM(M34:N34)</f>
        <v>0</v>
      </c>
      <c r="P34" s="339"/>
      <c r="Q34" s="409"/>
      <c r="R34" s="5"/>
      <c r="S34" s="5"/>
      <c r="T34" s="5"/>
      <c r="U34" s="5"/>
      <c r="V34" s="5"/>
    </row>
    <row r="35" spans="1:22" ht="85.5" x14ac:dyDescent="0.25">
      <c r="A35" s="253">
        <v>1</v>
      </c>
      <c r="B35" s="247"/>
      <c r="C35" s="220" t="s">
        <v>185</v>
      </c>
      <c r="D35" s="95" t="s">
        <v>29</v>
      </c>
      <c r="E35" s="50" t="s">
        <v>230</v>
      </c>
      <c r="F35" s="50" t="s">
        <v>180</v>
      </c>
      <c r="G35" s="197">
        <v>16</v>
      </c>
      <c r="H35" s="197"/>
      <c r="I35" s="197"/>
      <c r="J35" s="198"/>
      <c r="K35" s="53">
        <v>2250</v>
      </c>
      <c r="L35" s="53">
        <v>14250</v>
      </c>
      <c r="M35" s="214"/>
      <c r="N35" s="198"/>
      <c r="O35" s="316">
        <f>SUM(M35:N35)</f>
        <v>0</v>
      </c>
      <c r="P35" s="333"/>
      <c r="Q35" s="44"/>
      <c r="R35" s="44"/>
      <c r="S35" s="44"/>
      <c r="T35" s="44"/>
      <c r="U35" s="44"/>
    </row>
    <row r="36" spans="1:22" ht="107.25" customHeight="1" x14ac:dyDescent="0.25">
      <c r="A36" s="253">
        <v>0</v>
      </c>
      <c r="B36" s="50"/>
      <c r="C36" s="220" t="s">
        <v>182</v>
      </c>
      <c r="D36" s="50" t="s">
        <v>29</v>
      </c>
      <c r="E36" s="50" t="s">
        <v>181</v>
      </c>
      <c r="F36" s="50" t="s">
        <v>129</v>
      </c>
      <c r="G36" s="197">
        <v>8</v>
      </c>
      <c r="H36" s="52"/>
      <c r="I36" s="52"/>
      <c r="J36" s="53"/>
      <c r="K36" s="53">
        <v>2250</v>
      </c>
      <c r="L36" s="53">
        <v>11650</v>
      </c>
      <c r="M36" s="214"/>
      <c r="N36" s="198"/>
      <c r="O36" s="316">
        <f>SUM(M36:N36)</f>
        <v>0</v>
      </c>
      <c r="P36" s="333"/>
      <c r="Q36" s="180"/>
      <c r="R36" s="44"/>
      <c r="S36" s="44"/>
      <c r="T36" s="44"/>
      <c r="U36" s="44"/>
    </row>
    <row r="37" spans="1:22" ht="107.25" customHeight="1" x14ac:dyDescent="0.25">
      <c r="A37" s="253">
        <v>1</v>
      </c>
      <c r="B37" s="95" t="s">
        <v>30</v>
      </c>
      <c r="C37" s="218" t="s">
        <v>183</v>
      </c>
      <c r="D37" s="50" t="s">
        <v>29</v>
      </c>
      <c r="E37" s="50" t="s">
        <v>231</v>
      </c>
      <c r="F37" s="50" t="s">
        <v>115</v>
      </c>
      <c r="G37" s="197">
        <v>16</v>
      </c>
      <c r="H37" s="52"/>
      <c r="I37" s="52"/>
      <c r="J37" s="53"/>
      <c r="K37" s="53">
        <v>1560</v>
      </c>
      <c r="L37" s="53">
        <v>5825</v>
      </c>
      <c r="M37" s="214">
        <v>13117.65</v>
      </c>
      <c r="N37" s="198">
        <v>22400</v>
      </c>
      <c r="O37" s="316">
        <f>SUM(M37:N37)</f>
        <v>35517.65</v>
      </c>
      <c r="P37" s="333"/>
      <c r="Q37" s="180"/>
      <c r="R37" s="44"/>
      <c r="S37" s="44"/>
      <c r="T37" s="44"/>
      <c r="U37" s="44"/>
    </row>
    <row r="38" spans="1:22" ht="44.25" customHeight="1" x14ac:dyDescent="0.25">
      <c r="A38" s="253">
        <v>0</v>
      </c>
      <c r="B38" s="50"/>
      <c r="C38" s="220" t="s">
        <v>184</v>
      </c>
      <c r="D38" s="50" t="s">
        <v>29</v>
      </c>
      <c r="E38" s="50" t="s">
        <v>222</v>
      </c>
      <c r="F38" s="50" t="s">
        <v>166</v>
      </c>
      <c r="G38" s="197">
        <v>8</v>
      </c>
      <c r="H38" s="52"/>
      <c r="I38" s="52"/>
      <c r="J38" s="53"/>
      <c r="K38" s="53">
        <v>3640</v>
      </c>
      <c r="L38" s="53">
        <v>5825</v>
      </c>
      <c r="M38" s="198"/>
      <c r="N38" s="198"/>
      <c r="O38" s="316">
        <f>SUM(M38:N38)</f>
        <v>0</v>
      </c>
      <c r="P38" s="333"/>
      <c r="Q38" s="186"/>
      <c r="R38" s="186"/>
      <c r="S38" s="44"/>
      <c r="T38" s="44"/>
      <c r="U38" s="44"/>
    </row>
    <row r="39" spans="1:22" ht="93.75" hidden="1" customHeight="1" x14ac:dyDescent="0.25">
      <c r="A39" s="253">
        <v>0</v>
      </c>
      <c r="B39" s="95"/>
      <c r="C39" s="410" t="s">
        <v>216</v>
      </c>
      <c r="D39" s="323" t="s">
        <v>29</v>
      </c>
      <c r="E39" s="324"/>
      <c r="F39" s="323" t="s">
        <v>95</v>
      </c>
      <c r="G39" s="209"/>
      <c r="H39" s="107"/>
      <c r="I39" s="107"/>
      <c r="J39" s="325">
        <v>1070000</v>
      </c>
      <c r="K39" s="325">
        <v>0</v>
      </c>
      <c r="L39" s="325">
        <v>0</v>
      </c>
      <c r="M39" s="325"/>
      <c r="N39" s="255"/>
      <c r="O39" s="411">
        <f t="shared" ref="O39" si="3">SUM(M39:N39)</f>
        <v>0</v>
      </c>
      <c r="P39" s="333"/>
      <c r="Q39" s="186"/>
      <c r="R39" s="186"/>
      <c r="S39" s="186"/>
      <c r="T39" s="44"/>
      <c r="U39" s="44"/>
      <c r="V39" s="44"/>
    </row>
    <row r="40" spans="1:22" ht="93.75" hidden="1" customHeight="1" thickBot="1" x14ac:dyDescent="0.3">
      <c r="A40" s="150">
        <v>0</v>
      </c>
      <c r="B40" s="322"/>
      <c r="C40" s="412" t="s">
        <v>217</v>
      </c>
      <c r="D40" s="322" t="s">
        <v>29</v>
      </c>
      <c r="E40" s="413"/>
      <c r="F40" s="322" t="s">
        <v>96</v>
      </c>
      <c r="G40" s="414"/>
      <c r="H40" s="414"/>
      <c r="I40" s="414"/>
      <c r="J40" s="415"/>
      <c r="K40" s="416"/>
      <c r="L40" s="416"/>
      <c r="M40" s="415"/>
      <c r="N40" s="415"/>
      <c r="O40" s="417">
        <f>SUM(M40:N40)</f>
        <v>0</v>
      </c>
      <c r="P40" s="333"/>
      <c r="Q40" s="186"/>
      <c r="R40" s="186"/>
      <c r="S40" s="186"/>
      <c r="T40" s="44"/>
      <c r="U40" s="44"/>
      <c r="V40" s="44"/>
    </row>
    <row r="41" spans="1:22" ht="72.75" hidden="1" customHeight="1" thickBot="1" x14ac:dyDescent="0.3">
      <c r="A41" s="150">
        <v>0</v>
      </c>
      <c r="B41" s="95"/>
      <c r="C41" s="418" t="s">
        <v>218</v>
      </c>
      <c r="D41" s="323" t="s">
        <v>29</v>
      </c>
      <c r="E41" s="324"/>
      <c r="F41" s="323" t="s">
        <v>113</v>
      </c>
      <c r="G41" s="209"/>
      <c r="H41" s="107"/>
      <c r="I41" s="107"/>
      <c r="J41" s="325"/>
      <c r="K41" s="419"/>
      <c r="L41" s="419"/>
      <c r="M41" s="325"/>
      <c r="N41" s="255"/>
      <c r="O41" s="420">
        <f>SUM(M41:N41)</f>
        <v>0</v>
      </c>
      <c r="P41" s="333"/>
      <c r="Q41" s="186"/>
      <c r="R41" s="186"/>
      <c r="S41" s="186"/>
      <c r="T41" s="44"/>
      <c r="U41" s="44"/>
      <c r="V41" s="44"/>
    </row>
    <row r="42" spans="1:22" ht="42.75" hidden="1" x14ac:dyDescent="0.25">
      <c r="A42" s="150">
        <v>0</v>
      </c>
      <c r="B42" s="213"/>
      <c r="C42" s="421" t="s">
        <v>219</v>
      </c>
      <c r="D42" s="422" t="s">
        <v>29</v>
      </c>
      <c r="E42" s="324"/>
      <c r="F42" s="323" t="s">
        <v>95</v>
      </c>
      <c r="G42" s="209"/>
      <c r="H42" s="107"/>
      <c r="I42" s="107"/>
      <c r="J42" s="325"/>
      <c r="K42" s="419"/>
      <c r="L42" s="419"/>
      <c r="M42" s="325"/>
      <c r="N42" s="255"/>
      <c r="O42" s="420">
        <f>SUM(M42:N42)</f>
        <v>0</v>
      </c>
      <c r="P42" s="333"/>
      <c r="Q42" s="44"/>
      <c r="R42" s="44"/>
      <c r="S42" s="44"/>
      <c r="T42" s="44"/>
      <c r="U42" s="44"/>
      <c r="V42" s="44"/>
    </row>
    <row r="43" spans="1:22" ht="57" hidden="1" x14ac:dyDescent="0.25">
      <c r="A43" s="150"/>
      <c r="B43" s="213"/>
      <c r="C43" s="418" t="s">
        <v>220</v>
      </c>
      <c r="D43" s="422" t="s">
        <v>29</v>
      </c>
      <c r="E43" s="323"/>
      <c r="F43" s="323" t="s">
        <v>97</v>
      </c>
      <c r="G43" s="209">
        <v>0</v>
      </c>
      <c r="H43" s="107"/>
      <c r="I43" s="107"/>
      <c r="J43" s="325"/>
      <c r="K43" s="325"/>
      <c r="L43" s="325"/>
      <c r="M43" s="255"/>
      <c r="N43" s="255">
        <v>0</v>
      </c>
      <c r="O43" s="420">
        <f>SUM(M43:N43)</f>
        <v>0</v>
      </c>
      <c r="P43" s="333"/>
      <c r="Q43" s="44"/>
      <c r="R43" s="44"/>
      <c r="S43" s="44"/>
      <c r="T43" s="44"/>
      <c r="U43" s="44"/>
      <c r="V43" s="44"/>
    </row>
    <row r="44" spans="1:22" ht="71.25" x14ac:dyDescent="0.25">
      <c r="A44" s="253">
        <v>1</v>
      </c>
      <c r="B44" s="50"/>
      <c r="C44" s="220" t="s">
        <v>186</v>
      </c>
      <c r="D44" s="50" t="s">
        <v>29</v>
      </c>
      <c r="E44" s="50" t="s">
        <v>221</v>
      </c>
      <c r="F44" s="50" t="s">
        <v>187</v>
      </c>
      <c r="G44" s="197">
        <v>24</v>
      </c>
      <c r="H44" s="52"/>
      <c r="I44" s="52"/>
      <c r="J44" s="53"/>
      <c r="K44" s="53">
        <v>5100</v>
      </c>
      <c r="L44" s="53">
        <v>11650</v>
      </c>
      <c r="M44" s="198">
        <v>32688</v>
      </c>
      <c r="N44" s="198"/>
      <c r="O44" s="316">
        <f>SUM(M44:N44)</f>
        <v>32688</v>
      </c>
      <c r="P44" s="333"/>
      <c r="Q44" s="44"/>
      <c r="R44" s="44"/>
      <c r="S44" s="44"/>
      <c r="T44" s="44"/>
      <c r="U44" s="44"/>
      <c r="V44" s="44"/>
    </row>
    <row r="45" spans="1:22" x14ac:dyDescent="0.25">
      <c r="A45" s="85">
        <f>SUM(A34:A44)</f>
        <v>3</v>
      </c>
      <c r="B45" s="708" t="s">
        <v>24</v>
      </c>
      <c r="C45" s="708"/>
      <c r="D45" s="708"/>
      <c r="E45" s="708"/>
      <c r="F45" s="708"/>
      <c r="G45" s="392">
        <f t="shared" ref="G45:N45" si="4">SUM(G34:G44)</f>
        <v>72</v>
      </c>
      <c r="H45" s="83">
        <f t="shared" si="4"/>
        <v>0</v>
      </c>
      <c r="I45" s="83">
        <f t="shared" si="4"/>
        <v>0</v>
      </c>
      <c r="J45" s="56">
        <f t="shared" si="4"/>
        <v>1720000</v>
      </c>
      <c r="K45" s="56">
        <f>SUM(K34:K44)</f>
        <v>14800</v>
      </c>
      <c r="L45" s="56">
        <f>SUM(L34:L44)</f>
        <v>49200</v>
      </c>
      <c r="M45" s="56">
        <f>SUM(M34:M44)</f>
        <v>45805.65</v>
      </c>
      <c r="N45" s="382">
        <f t="shared" si="4"/>
        <v>22400</v>
      </c>
      <c r="O45" s="86">
        <f>SUM(O34:O44)</f>
        <v>68205.649999999994</v>
      </c>
      <c r="P45" s="333"/>
      <c r="Q45" s="180"/>
      <c r="R45" s="44"/>
      <c r="S45" s="44"/>
      <c r="T45" s="44"/>
      <c r="U45" s="44"/>
      <c r="V45" s="44"/>
    </row>
    <row r="46" spans="1:22" x14ac:dyDescent="0.25">
      <c r="A46" s="709" t="s">
        <v>25</v>
      </c>
      <c r="B46" s="710"/>
      <c r="C46" s="710"/>
      <c r="D46" s="710"/>
      <c r="E46" s="710"/>
      <c r="F46" s="710"/>
      <c r="G46" s="710"/>
      <c r="H46" s="59"/>
      <c r="I46" s="59"/>
      <c r="J46" s="60"/>
      <c r="K46" s="61"/>
      <c r="L46" s="61"/>
      <c r="M46" s="61">
        <v>0</v>
      </c>
      <c r="N46" s="383">
        <f>0.1*-N45</f>
        <v>-2240</v>
      </c>
      <c r="O46" s="87">
        <f>SUM(N46:N46)</f>
        <v>-2240</v>
      </c>
      <c r="P46" s="333"/>
      <c r="Q46" s="44"/>
      <c r="R46" s="44"/>
      <c r="S46" s="44"/>
      <c r="T46" s="44"/>
      <c r="U46" s="44"/>
      <c r="V46" s="44"/>
    </row>
    <row r="47" spans="1:22" ht="15.75" customHeight="1" thickBot="1" x14ac:dyDescent="0.3">
      <c r="A47" s="713" t="s">
        <v>31</v>
      </c>
      <c r="B47" s="714"/>
      <c r="C47" s="714"/>
      <c r="D47" s="714"/>
      <c r="E47" s="714"/>
      <c r="F47" s="714"/>
      <c r="G47" s="715"/>
      <c r="H47" s="57"/>
      <c r="I47" s="57"/>
      <c r="J47" s="54"/>
      <c r="K47" s="55"/>
      <c r="L47" s="55"/>
      <c r="M47" s="55">
        <f>SUM(M45:M46)</f>
        <v>45805.65</v>
      </c>
      <c r="N47" s="384">
        <f>+N45+N46</f>
        <v>20160</v>
      </c>
      <c r="O47" s="58">
        <f>+O45+O46</f>
        <v>65965.649999999994</v>
      </c>
      <c r="P47" s="333"/>
      <c r="Q47" s="44"/>
      <c r="R47" s="44"/>
      <c r="S47" s="44"/>
      <c r="T47" s="44"/>
      <c r="U47" s="44"/>
      <c r="V47" s="44"/>
    </row>
    <row r="48" spans="1:22" ht="29.25" customHeight="1" x14ac:dyDescent="0.25">
      <c r="A48" s="14"/>
      <c r="B48" s="14"/>
      <c r="C48" s="14"/>
      <c r="D48" s="14"/>
      <c r="E48" s="14"/>
      <c r="F48" s="14"/>
      <c r="G48" s="391"/>
      <c r="H48" s="15"/>
      <c r="I48" s="15"/>
      <c r="J48" s="16"/>
      <c r="K48" s="16"/>
      <c r="L48" s="16"/>
      <c r="M48" s="16"/>
      <c r="N48" s="380"/>
      <c r="O48" s="17"/>
      <c r="P48" s="333"/>
      <c r="Q48" s="151"/>
      <c r="R48" s="340"/>
      <c r="S48" s="44"/>
      <c r="T48" s="44"/>
      <c r="U48" s="44"/>
      <c r="V48" s="44"/>
    </row>
    <row r="49" spans="1:22" ht="14.25" customHeight="1" thickBot="1" x14ac:dyDescent="0.3">
      <c r="A49" s="711" t="s">
        <v>32</v>
      </c>
      <c r="B49" s="711"/>
      <c r="C49" s="711"/>
      <c r="D49" s="711"/>
      <c r="E49" s="711"/>
      <c r="F49" s="711"/>
      <c r="G49" s="711"/>
      <c r="H49" s="711"/>
      <c r="I49" s="711"/>
      <c r="J49" s="711"/>
      <c r="K49" s="711"/>
      <c r="L49" s="711"/>
      <c r="M49" s="711"/>
      <c r="N49" s="385"/>
      <c r="O49" s="20"/>
      <c r="P49" s="333"/>
      <c r="Q49" s="44"/>
      <c r="R49" s="44"/>
      <c r="S49" s="44"/>
      <c r="T49" s="44"/>
      <c r="U49" s="44"/>
      <c r="V49" s="44"/>
    </row>
    <row r="50" spans="1:22" ht="36.75" customHeight="1" thickBot="1" x14ac:dyDescent="0.3">
      <c r="A50" s="752" t="s">
        <v>6</v>
      </c>
      <c r="B50" s="755" t="s">
        <v>7</v>
      </c>
      <c r="C50" s="756"/>
      <c r="D50" s="759" t="s">
        <v>8</v>
      </c>
      <c r="E50" s="759" t="s">
        <v>9</v>
      </c>
      <c r="F50" s="759" t="s">
        <v>10</v>
      </c>
      <c r="G50" s="759" t="s">
        <v>28</v>
      </c>
      <c r="H50" s="755" t="s">
        <v>12</v>
      </c>
      <c r="I50" s="756"/>
      <c r="J50" s="759" t="s">
        <v>60</v>
      </c>
      <c r="K50" s="759" t="s">
        <v>21</v>
      </c>
      <c r="L50" s="759" t="s">
        <v>22</v>
      </c>
      <c r="M50" s="759" t="s">
        <v>13</v>
      </c>
      <c r="N50" s="759" t="s">
        <v>14</v>
      </c>
      <c r="O50" s="763" t="s">
        <v>15</v>
      </c>
      <c r="P50" s="333"/>
      <c r="Q50" s="44"/>
      <c r="R50" s="44"/>
      <c r="S50" s="44"/>
      <c r="T50" s="44"/>
      <c r="U50" s="44"/>
      <c r="V50" s="44"/>
    </row>
    <row r="51" spans="1:22" ht="30.75" customHeight="1" thickBot="1" x14ac:dyDescent="0.3">
      <c r="A51" s="753"/>
      <c r="B51" s="757"/>
      <c r="C51" s="758"/>
      <c r="D51" s="760"/>
      <c r="E51" s="760"/>
      <c r="F51" s="760"/>
      <c r="G51" s="760"/>
      <c r="H51" s="759" t="s">
        <v>20</v>
      </c>
      <c r="I51" s="759" t="s">
        <v>17</v>
      </c>
      <c r="J51" s="761"/>
      <c r="K51" s="762"/>
      <c r="L51" s="762"/>
      <c r="M51" s="761"/>
      <c r="N51" s="762"/>
      <c r="O51" s="764"/>
      <c r="P51" s="333"/>
      <c r="Q51" s="180"/>
      <c r="R51" s="333"/>
      <c r="S51" s="44"/>
      <c r="T51" s="44"/>
      <c r="U51" s="44"/>
      <c r="V51" s="44"/>
    </row>
    <row r="52" spans="1:22" s="360" customFormat="1" ht="31.5" customHeight="1" x14ac:dyDescent="0.25">
      <c r="A52" s="754"/>
      <c r="B52" s="355" t="s">
        <v>18</v>
      </c>
      <c r="C52" s="354" t="s">
        <v>19</v>
      </c>
      <c r="D52" s="760"/>
      <c r="E52" s="760"/>
      <c r="F52" s="760"/>
      <c r="G52" s="760"/>
      <c r="H52" s="762"/>
      <c r="I52" s="762"/>
      <c r="J52" s="761"/>
      <c r="K52" s="762"/>
      <c r="L52" s="762"/>
      <c r="M52" s="761"/>
      <c r="N52" s="762"/>
      <c r="O52" s="765"/>
      <c r="P52" s="357"/>
      <c r="Q52" s="358"/>
      <c r="R52" s="357"/>
      <c r="S52" s="359"/>
      <c r="T52" s="359"/>
      <c r="U52" s="359"/>
      <c r="V52" s="359"/>
    </row>
    <row r="53" spans="1:22" ht="69" customHeight="1" x14ac:dyDescent="0.25">
      <c r="A53" s="375">
        <v>1</v>
      </c>
      <c r="B53" s="361"/>
      <c r="C53" s="313" t="s">
        <v>210</v>
      </c>
      <c r="D53" s="362" t="s">
        <v>33</v>
      </c>
      <c r="E53" s="313" t="s">
        <v>232</v>
      </c>
      <c r="F53" s="313" t="s">
        <v>209</v>
      </c>
      <c r="G53" s="313">
        <v>16</v>
      </c>
      <c r="H53" s="313">
        <v>0</v>
      </c>
      <c r="I53" s="313">
        <v>0</v>
      </c>
      <c r="J53" s="313"/>
      <c r="K53" s="313">
        <v>4600</v>
      </c>
      <c r="L53" s="313">
        <v>6750</v>
      </c>
      <c r="M53" s="313">
        <v>0</v>
      </c>
      <c r="N53" s="313"/>
      <c r="O53" s="313">
        <f>SUM(M53:N53)</f>
        <v>0</v>
      </c>
      <c r="P53" s="356"/>
      <c r="Q53" s="44"/>
      <c r="R53" s="44"/>
      <c r="S53" s="44"/>
      <c r="T53" s="44"/>
      <c r="U53" s="44"/>
      <c r="V53" s="44"/>
    </row>
    <row r="54" spans="1:22" ht="58.5" customHeight="1" x14ac:dyDescent="0.25">
      <c r="A54" s="248">
        <v>1</v>
      </c>
      <c r="B54" s="313" t="s">
        <v>58</v>
      </c>
      <c r="C54" s="313" t="s">
        <v>188</v>
      </c>
      <c r="D54" s="363" t="s">
        <v>33</v>
      </c>
      <c r="E54" s="364" t="s">
        <v>223</v>
      </c>
      <c r="F54" s="327" t="s">
        <v>59</v>
      </c>
      <c r="G54" s="365">
        <v>16</v>
      </c>
      <c r="H54" s="365">
        <v>0</v>
      </c>
      <c r="I54" s="365">
        <v>0</v>
      </c>
      <c r="J54" s="366">
        <v>370000</v>
      </c>
      <c r="K54" s="367">
        <v>2900</v>
      </c>
      <c r="L54" s="367">
        <v>8500</v>
      </c>
      <c r="M54" s="367">
        <v>10415.6</v>
      </c>
      <c r="N54" s="367">
        <v>19200</v>
      </c>
      <c r="O54" s="368">
        <f>M54+N54</f>
        <v>29615.599999999999</v>
      </c>
      <c r="P54" s="333"/>
      <c r="Q54" s="44"/>
      <c r="R54" s="44"/>
      <c r="S54" s="44"/>
      <c r="T54" s="44"/>
      <c r="U54" s="44"/>
      <c r="V54" s="44"/>
    </row>
    <row r="55" spans="1:22" ht="57.75" customHeight="1" x14ac:dyDescent="0.25">
      <c r="A55" s="109">
        <v>1</v>
      </c>
      <c r="B55" s="313" t="s">
        <v>58</v>
      </c>
      <c r="C55" s="313" t="s">
        <v>189</v>
      </c>
      <c r="D55" s="313" t="s">
        <v>33</v>
      </c>
      <c r="E55" s="369">
        <v>45524</v>
      </c>
      <c r="F55" s="313" t="s">
        <v>59</v>
      </c>
      <c r="G55" s="370">
        <v>8</v>
      </c>
      <c r="H55" s="370">
        <v>0</v>
      </c>
      <c r="I55" s="370">
        <v>0</v>
      </c>
      <c r="J55" s="371"/>
      <c r="K55" s="372">
        <v>2900</v>
      </c>
      <c r="L55" s="372">
        <v>2750</v>
      </c>
      <c r="M55" s="372">
        <v>0</v>
      </c>
      <c r="N55" s="372">
        <v>19200</v>
      </c>
      <c r="O55" s="371">
        <f>M55+N55</f>
        <v>19200</v>
      </c>
      <c r="P55" s="333"/>
      <c r="Q55" s="341"/>
      <c r="R55" s="44"/>
      <c r="S55" s="44"/>
      <c r="T55" s="44"/>
      <c r="U55" s="44"/>
      <c r="V55" s="44"/>
    </row>
    <row r="56" spans="1:22" ht="46.5" customHeight="1" x14ac:dyDescent="0.25">
      <c r="A56" s="109">
        <v>1</v>
      </c>
      <c r="B56" s="313"/>
      <c r="C56" s="313" t="s">
        <v>190</v>
      </c>
      <c r="D56" s="362" t="s">
        <v>33</v>
      </c>
      <c r="E56" s="369" t="s">
        <v>191</v>
      </c>
      <c r="F56" s="313" t="s">
        <v>209</v>
      </c>
      <c r="G56" s="370">
        <v>24</v>
      </c>
      <c r="H56" s="370">
        <v>0</v>
      </c>
      <c r="I56" s="370">
        <v>0</v>
      </c>
      <c r="J56" s="373"/>
      <c r="K56" s="372">
        <v>4600</v>
      </c>
      <c r="L56" s="372">
        <v>12500</v>
      </c>
      <c r="M56" s="372">
        <v>0</v>
      </c>
      <c r="N56" s="372">
        <v>0</v>
      </c>
      <c r="O56" s="374">
        <f t="shared" ref="O56" si="5">M56+N56</f>
        <v>0</v>
      </c>
      <c r="P56" s="333"/>
      <c r="Q56" s="44"/>
      <c r="R56" s="44"/>
      <c r="S56" s="44"/>
      <c r="T56" s="44"/>
      <c r="U56" s="44"/>
      <c r="V56" s="44"/>
    </row>
    <row r="57" spans="1:22" ht="15.75" customHeight="1" thickBot="1" x14ac:dyDescent="0.3">
      <c r="A57" s="85">
        <f>SUM(A53:A56)</f>
        <v>4</v>
      </c>
      <c r="B57" s="694" t="s">
        <v>24</v>
      </c>
      <c r="C57" s="694"/>
      <c r="D57" s="694"/>
      <c r="E57" s="694"/>
      <c r="F57" s="694"/>
      <c r="G57" s="393">
        <f>SUM(G53:G56)</f>
        <v>64</v>
      </c>
      <c r="H57" s="267">
        <f t="shared" ref="H57:J57" si="6">SUM(H54:H56)</f>
        <v>0</v>
      </c>
      <c r="I57" s="267">
        <f t="shared" si="6"/>
        <v>0</v>
      </c>
      <c r="J57" s="267">
        <f t="shared" si="6"/>
        <v>370000</v>
      </c>
      <c r="K57" s="267">
        <f>SUM(K53:K56)</f>
        <v>15000</v>
      </c>
      <c r="L57" s="267">
        <f>SUM(L53:L56)</f>
        <v>30500</v>
      </c>
      <c r="M57" s="267">
        <f>SUM(M53:M56)</f>
        <v>10415.6</v>
      </c>
      <c r="N57" s="386">
        <f>SUM(N53:N56)</f>
        <v>38400</v>
      </c>
      <c r="O57" s="268">
        <f>SUM(O53:O56)</f>
        <v>48815.6</v>
      </c>
      <c r="P57" s="333"/>
      <c r="Q57" s="44"/>
      <c r="R57" s="44"/>
      <c r="S57" s="44"/>
      <c r="T57" s="44"/>
      <c r="U57" s="44"/>
      <c r="V57" s="44"/>
    </row>
    <row r="58" spans="1:22" ht="14.25" customHeight="1" x14ac:dyDescent="0.25">
      <c r="A58" s="709" t="s">
        <v>25</v>
      </c>
      <c r="B58" s="710"/>
      <c r="C58" s="710"/>
      <c r="D58" s="710"/>
      <c r="E58" s="710"/>
      <c r="F58" s="710"/>
      <c r="G58" s="710"/>
      <c r="H58" s="98"/>
      <c r="I58" s="98"/>
      <c r="J58" s="99"/>
      <c r="K58" s="100"/>
      <c r="L58" s="100"/>
      <c r="M58" s="61">
        <v>0</v>
      </c>
      <c r="N58" s="383">
        <f>-0.1*N57</f>
        <v>-3840</v>
      </c>
      <c r="O58" s="87">
        <f>SUM(N58:N58)</f>
        <v>-3840</v>
      </c>
      <c r="P58" s="333"/>
      <c r="Q58" s="44"/>
      <c r="R58" s="44"/>
      <c r="S58" s="44"/>
      <c r="T58" s="44"/>
      <c r="U58" s="44"/>
      <c r="V58" s="44"/>
    </row>
    <row r="59" spans="1:22" ht="15.75" thickBot="1" x14ac:dyDescent="0.3">
      <c r="A59" s="713" t="s">
        <v>31</v>
      </c>
      <c r="B59" s="714"/>
      <c r="C59" s="714"/>
      <c r="D59" s="714"/>
      <c r="E59" s="714"/>
      <c r="F59" s="714"/>
      <c r="G59" s="715"/>
      <c r="H59" s="88"/>
      <c r="I59" s="88"/>
      <c r="J59" s="89"/>
      <c r="K59" s="90"/>
      <c r="L59" s="90"/>
      <c r="M59" s="55">
        <f>SUM(M57:M58)</f>
        <v>10415.6</v>
      </c>
      <c r="N59" s="384">
        <f>+N57+N58</f>
        <v>34560</v>
      </c>
      <c r="O59" s="58">
        <f>+O57+O58</f>
        <v>44975.6</v>
      </c>
      <c r="P59" s="333"/>
      <c r="Q59" s="44"/>
      <c r="R59" s="44"/>
      <c r="S59" s="44"/>
      <c r="T59" s="44"/>
      <c r="U59" s="44"/>
      <c r="V59" s="44"/>
    </row>
    <row r="60" spans="1:22" x14ac:dyDescent="0.25">
      <c r="A60" s="21"/>
      <c r="B60" s="21"/>
      <c r="C60" s="21"/>
      <c r="D60" s="21"/>
      <c r="E60" s="21"/>
      <c r="F60" s="21"/>
      <c r="G60" s="116"/>
      <c r="H60" s="15"/>
      <c r="I60" s="15"/>
      <c r="J60" s="16"/>
      <c r="K60" s="16"/>
      <c r="L60" s="16"/>
      <c r="M60" s="22"/>
      <c r="N60" s="387"/>
      <c r="O60" s="22"/>
      <c r="P60" s="333"/>
      <c r="Q60" s="44"/>
      <c r="R60" s="44"/>
      <c r="S60" s="44"/>
      <c r="T60" s="44"/>
      <c r="U60" s="44"/>
      <c r="V60" s="44"/>
    </row>
    <row r="61" spans="1:22" ht="24.75" customHeight="1" x14ac:dyDescent="0.25">
      <c r="A61" s="21"/>
      <c r="B61" s="21"/>
      <c r="C61" s="21"/>
      <c r="D61" s="21"/>
      <c r="E61" s="21"/>
      <c r="F61" s="21"/>
      <c r="G61" s="116"/>
      <c r="H61" s="23"/>
      <c r="I61" s="23"/>
      <c r="J61" s="22"/>
      <c r="K61" s="22"/>
      <c r="L61" s="22"/>
      <c r="M61" s="22"/>
      <c r="N61" s="387"/>
      <c r="O61" s="24"/>
      <c r="P61" s="333"/>
      <c r="Q61" s="151"/>
      <c r="R61" s="340"/>
      <c r="S61" s="44"/>
      <c r="T61" s="44"/>
      <c r="U61" s="44"/>
      <c r="V61" s="44"/>
    </row>
    <row r="62" spans="1:22" ht="30.75" customHeight="1" thickBot="1" x14ac:dyDescent="0.3">
      <c r="A62" s="698" t="s">
        <v>34</v>
      </c>
      <c r="B62" s="698"/>
      <c r="C62" s="698"/>
      <c r="D62" s="698"/>
      <c r="E62" s="698"/>
      <c r="F62" s="698"/>
      <c r="G62" s="698"/>
      <c r="H62" s="698"/>
      <c r="I62" s="698"/>
      <c r="J62" s="698"/>
      <c r="K62" s="698"/>
      <c r="L62" s="698"/>
      <c r="M62" s="698"/>
      <c r="N62" s="698"/>
      <c r="O62" s="698"/>
      <c r="P62" s="333"/>
      <c r="Q62" s="44"/>
      <c r="R62" s="44"/>
      <c r="S62" s="44"/>
      <c r="T62" s="44"/>
      <c r="U62" s="44"/>
      <c r="V62" s="44"/>
    </row>
    <row r="63" spans="1:22" ht="39" customHeight="1" thickBot="1" x14ac:dyDescent="0.3">
      <c r="A63" s="716" t="s">
        <v>6</v>
      </c>
      <c r="B63" s="779" t="s">
        <v>7</v>
      </c>
      <c r="C63" s="780"/>
      <c r="D63" s="773" t="s">
        <v>8</v>
      </c>
      <c r="E63" s="773" t="s">
        <v>9</v>
      </c>
      <c r="F63" s="773" t="s">
        <v>10</v>
      </c>
      <c r="G63" s="773" t="s">
        <v>35</v>
      </c>
      <c r="H63" s="797" t="s">
        <v>12</v>
      </c>
      <c r="I63" s="798"/>
      <c r="J63" s="773" t="s">
        <v>60</v>
      </c>
      <c r="K63" s="759" t="s">
        <v>21</v>
      </c>
      <c r="L63" s="759" t="s">
        <v>22</v>
      </c>
      <c r="M63" s="773" t="s">
        <v>13</v>
      </c>
      <c r="N63" s="773" t="s">
        <v>14</v>
      </c>
      <c r="O63" s="775" t="s">
        <v>36</v>
      </c>
      <c r="P63" s="333"/>
      <c r="Q63" s="44"/>
      <c r="R63" s="44"/>
      <c r="S63" s="44"/>
      <c r="T63" s="44"/>
      <c r="U63" s="44"/>
      <c r="V63" s="44"/>
    </row>
    <row r="64" spans="1:22" ht="15.75" hidden="1" thickBot="1" x14ac:dyDescent="0.3">
      <c r="A64" s="778"/>
      <c r="B64" s="781"/>
      <c r="C64" s="782"/>
      <c r="D64" s="774"/>
      <c r="E64" s="774"/>
      <c r="F64" s="774"/>
      <c r="G64" s="783"/>
      <c r="H64" s="773" t="s">
        <v>20</v>
      </c>
      <c r="I64" s="773" t="s">
        <v>17</v>
      </c>
      <c r="J64" s="784"/>
      <c r="K64" s="762"/>
      <c r="L64" s="762"/>
      <c r="M64" s="784"/>
      <c r="N64" s="774"/>
      <c r="O64" s="776"/>
      <c r="P64" s="333"/>
      <c r="Q64" s="180"/>
      <c r="R64" s="44"/>
      <c r="S64" s="44"/>
      <c r="T64" s="44"/>
      <c r="U64" s="44"/>
      <c r="V64" s="44"/>
    </row>
    <row r="65" spans="1:22" ht="31.5" customHeight="1" thickBot="1" x14ac:dyDescent="0.3">
      <c r="A65" s="796"/>
      <c r="B65" s="346" t="s">
        <v>18</v>
      </c>
      <c r="C65" s="154" t="s">
        <v>19</v>
      </c>
      <c r="D65" s="774"/>
      <c r="E65" s="774"/>
      <c r="F65" s="774"/>
      <c r="G65" s="783"/>
      <c r="H65" s="774"/>
      <c r="I65" s="774"/>
      <c r="J65" s="784"/>
      <c r="K65" s="766"/>
      <c r="L65" s="766"/>
      <c r="M65" s="784"/>
      <c r="N65" s="774"/>
      <c r="O65" s="777"/>
      <c r="P65" s="333"/>
      <c r="Q65" s="180"/>
      <c r="R65" s="44"/>
      <c r="S65" s="44"/>
      <c r="T65" s="44"/>
      <c r="U65" s="44"/>
      <c r="V65" s="44"/>
    </row>
    <row r="66" spans="1:22" ht="57.75" thickBot="1" x14ac:dyDescent="0.3">
      <c r="A66" s="217">
        <v>1</v>
      </c>
      <c r="B66" s="50" t="s">
        <v>30</v>
      </c>
      <c r="C66" s="103" t="s">
        <v>212</v>
      </c>
      <c r="D66" s="50" t="s">
        <v>37</v>
      </c>
      <c r="E66" s="50" t="s">
        <v>192</v>
      </c>
      <c r="F66" s="50" t="s">
        <v>211</v>
      </c>
      <c r="G66" s="197">
        <v>16</v>
      </c>
      <c r="H66" s="52">
        <v>0</v>
      </c>
      <c r="I66" s="52"/>
      <c r="J66" s="53">
        <v>250000</v>
      </c>
      <c r="K66" s="53">
        <v>4100</v>
      </c>
      <c r="L66" s="53">
        <v>8925</v>
      </c>
      <c r="M66" s="53"/>
      <c r="N66" s="198">
        <v>22430.240000000002</v>
      </c>
      <c r="O66" s="53">
        <f t="shared" ref="O66:O69" si="7">SUM(M66:N66)</f>
        <v>22430.240000000002</v>
      </c>
      <c r="P66" s="333"/>
      <c r="Q66" s="180"/>
      <c r="R66" s="333"/>
      <c r="S66" s="44"/>
      <c r="T66" s="44"/>
      <c r="U66" s="44"/>
      <c r="V66" s="44"/>
    </row>
    <row r="67" spans="1:22" ht="71.25" hidden="1" x14ac:dyDescent="0.25">
      <c r="A67" s="423"/>
      <c r="B67" s="323" t="s">
        <v>30</v>
      </c>
      <c r="C67" s="424" t="s">
        <v>224</v>
      </c>
      <c r="D67" s="323" t="s">
        <v>37</v>
      </c>
      <c r="E67" s="324" t="s">
        <v>192</v>
      </c>
      <c r="F67" s="323" t="s">
        <v>122</v>
      </c>
      <c r="G67" s="209"/>
      <c r="H67" s="107"/>
      <c r="I67" s="107"/>
      <c r="J67" s="325">
        <v>300000</v>
      </c>
      <c r="K67" s="325"/>
      <c r="L67" s="325"/>
      <c r="M67" s="325"/>
      <c r="N67" s="255"/>
      <c r="O67" s="326">
        <f t="shared" si="7"/>
        <v>0</v>
      </c>
      <c r="P67" s="333"/>
      <c r="Q67" s="44"/>
      <c r="R67" s="44"/>
      <c r="S67" s="44"/>
      <c r="T67" s="44"/>
      <c r="U67" s="44"/>
      <c r="V67" s="44"/>
    </row>
    <row r="68" spans="1:22" ht="69" hidden="1" customHeight="1" thickBot="1" x14ac:dyDescent="0.3">
      <c r="A68" s="425">
        <v>0</v>
      </c>
      <c r="B68" s="426" t="s">
        <v>78</v>
      </c>
      <c r="C68" s="426" t="s">
        <v>225</v>
      </c>
      <c r="D68" s="426" t="s">
        <v>37</v>
      </c>
      <c r="E68" s="427" t="s">
        <v>98</v>
      </c>
      <c r="F68" s="323" t="s">
        <v>74</v>
      </c>
      <c r="G68" s="209">
        <v>0</v>
      </c>
      <c r="H68" s="107">
        <v>0</v>
      </c>
      <c r="I68" s="107">
        <v>0</v>
      </c>
      <c r="J68" s="325">
        <v>370000</v>
      </c>
      <c r="K68" s="325">
        <v>0</v>
      </c>
      <c r="L68" s="325">
        <v>0</v>
      </c>
      <c r="M68" s="325">
        <v>0</v>
      </c>
      <c r="N68" s="255">
        <v>0</v>
      </c>
      <c r="O68" s="326">
        <f t="shared" si="7"/>
        <v>0</v>
      </c>
      <c r="P68" s="153"/>
      <c r="Q68" s="153"/>
      <c r="R68" s="153"/>
      <c r="S68" s="44"/>
      <c r="T68" s="44"/>
      <c r="U68" s="44"/>
      <c r="V68" s="44"/>
    </row>
    <row r="69" spans="1:22" ht="67.5" hidden="1" customHeight="1" thickBot="1" x14ac:dyDescent="0.3">
      <c r="A69" s="428">
        <v>0</v>
      </c>
      <c r="B69" s="323" t="s">
        <v>30</v>
      </c>
      <c r="C69" s="429" t="s">
        <v>226</v>
      </c>
      <c r="D69" s="323" t="s">
        <v>37</v>
      </c>
      <c r="E69" s="324"/>
      <c r="F69" s="323" t="s">
        <v>40</v>
      </c>
      <c r="G69" s="209"/>
      <c r="H69" s="107"/>
      <c r="I69" s="107"/>
      <c r="J69" s="325"/>
      <c r="K69" s="325"/>
      <c r="L69" s="325"/>
      <c r="M69" s="325"/>
      <c r="N69" s="255"/>
      <c r="O69" s="430">
        <f t="shared" si="7"/>
        <v>0</v>
      </c>
      <c r="P69" s="333"/>
      <c r="Q69" s="44"/>
      <c r="R69" s="44"/>
      <c r="S69" s="44"/>
      <c r="T69" s="44"/>
      <c r="U69" s="44"/>
      <c r="V69" s="44"/>
    </row>
    <row r="70" spans="1:22" ht="17.25" customHeight="1" thickBot="1" x14ac:dyDescent="0.3">
      <c r="A70" s="65">
        <f>SUM(A66:A69)</f>
        <v>1</v>
      </c>
      <c r="B70" s="694" t="s">
        <v>24</v>
      </c>
      <c r="C70" s="694"/>
      <c r="D70" s="694"/>
      <c r="E70" s="694"/>
      <c r="F70" s="694"/>
      <c r="G70" s="102">
        <f t="shared" ref="G70:J70" si="8">SUM(G66:G69)</f>
        <v>16</v>
      </c>
      <c r="H70" s="102">
        <f t="shared" si="8"/>
        <v>0</v>
      </c>
      <c r="I70" s="102">
        <f t="shared" si="8"/>
        <v>0</v>
      </c>
      <c r="J70" s="102">
        <f t="shared" si="8"/>
        <v>920000</v>
      </c>
      <c r="K70" s="102">
        <f>SUM(K66:K69)</f>
        <v>4100</v>
      </c>
      <c r="L70" s="102">
        <f t="shared" ref="L70:O70" si="9">SUM(L66:L69)</f>
        <v>8925</v>
      </c>
      <c r="M70" s="102">
        <f t="shared" si="9"/>
        <v>0</v>
      </c>
      <c r="N70" s="102">
        <f t="shared" si="9"/>
        <v>22430.240000000002</v>
      </c>
      <c r="O70" s="152">
        <f t="shared" si="9"/>
        <v>22430.240000000002</v>
      </c>
      <c r="P70" s="333"/>
      <c r="Q70" s="44"/>
      <c r="R70" s="44"/>
      <c r="S70" s="44"/>
      <c r="T70" s="44"/>
      <c r="U70" s="44"/>
      <c r="V70" s="44"/>
    </row>
    <row r="71" spans="1:22" ht="17.25" customHeight="1" thickBot="1" x14ac:dyDescent="0.3">
      <c r="A71" s="695" t="s">
        <v>25</v>
      </c>
      <c r="B71" s="696"/>
      <c r="C71" s="696"/>
      <c r="D71" s="696"/>
      <c r="E71" s="696"/>
      <c r="F71" s="696"/>
      <c r="G71" s="696"/>
      <c r="H71" s="25"/>
      <c r="I71" s="25"/>
      <c r="J71" s="26"/>
      <c r="K71" s="26"/>
      <c r="L71" s="26"/>
      <c r="M71" s="27">
        <v>0</v>
      </c>
      <c r="N71" s="27">
        <f>N70*-0.1</f>
        <v>-2243.0240000000003</v>
      </c>
      <c r="O71" s="27">
        <f>N71</f>
        <v>-2243.0240000000003</v>
      </c>
      <c r="P71" s="333"/>
      <c r="Q71" s="44"/>
      <c r="R71" s="44"/>
      <c r="S71" s="44"/>
      <c r="T71" s="44"/>
      <c r="U71" s="44"/>
      <c r="V71" s="44"/>
    </row>
    <row r="72" spans="1:22" ht="17.25" customHeight="1" thickBot="1" x14ac:dyDescent="0.3">
      <c r="A72" s="697" t="s">
        <v>26</v>
      </c>
      <c r="B72" s="697"/>
      <c r="C72" s="697"/>
      <c r="D72" s="697"/>
      <c r="E72" s="697"/>
      <c r="F72" s="697"/>
      <c r="G72" s="697"/>
      <c r="H72" s="28"/>
      <c r="I72" s="28"/>
      <c r="J72" s="29"/>
      <c r="K72" s="29"/>
      <c r="L72" s="29"/>
      <c r="M72" s="27">
        <f>SUM(M70:M71)</f>
        <v>0</v>
      </c>
      <c r="N72" s="27">
        <f>N70 +(N71)</f>
        <v>20187.216</v>
      </c>
      <c r="O72" s="27">
        <f>O71+O70</f>
        <v>20187.216</v>
      </c>
      <c r="P72" s="333"/>
      <c r="Q72" s="44"/>
      <c r="R72" s="44"/>
      <c r="S72" s="44"/>
      <c r="T72" s="44"/>
      <c r="U72" s="44"/>
      <c r="V72" s="44"/>
    </row>
    <row r="73" spans="1:22" ht="37.5" customHeight="1" thickBot="1" x14ac:dyDescent="0.3">
      <c r="A73" s="116"/>
      <c r="B73" s="116"/>
      <c r="C73" s="116"/>
      <c r="D73" s="116"/>
      <c r="E73" s="116"/>
      <c r="F73" s="116"/>
      <c r="G73" s="116"/>
      <c r="H73" s="30"/>
      <c r="I73" s="30"/>
      <c r="J73" s="31"/>
      <c r="K73" s="31"/>
      <c r="L73" s="31"/>
      <c r="M73" s="32"/>
      <c r="N73" s="32"/>
      <c r="O73" s="32"/>
      <c r="P73" s="342"/>
      <c r="Q73" s="185"/>
      <c r="R73" s="185"/>
      <c r="S73" s="185"/>
      <c r="T73" s="185"/>
      <c r="U73" s="185"/>
      <c r="V73" s="44"/>
    </row>
    <row r="74" spans="1:22" ht="45.75" customHeight="1" thickBot="1" x14ac:dyDescent="0.3">
      <c r="A74" s="154"/>
      <c r="B74" s="789" t="s">
        <v>83</v>
      </c>
      <c r="C74" s="789"/>
      <c r="D74" s="789"/>
      <c r="E74" s="789"/>
      <c r="F74" s="789"/>
      <c r="G74" s="780"/>
      <c r="H74" s="30"/>
      <c r="I74" s="793" t="s">
        <v>81</v>
      </c>
      <c r="J74" s="794"/>
      <c r="K74" s="794"/>
      <c r="L74" s="794"/>
      <c r="M74" s="794"/>
      <c r="N74" s="795"/>
      <c r="O74" s="32"/>
      <c r="P74" s="800" t="s">
        <v>174</v>
      </c>
      <c r="Q74" s="801"/>
      <c r="R74" s="801"/>
      <c r="S74" s="801"/>
      <c r="T74" s="801"/>
      <c r="U74" s="802"/>
      <c r="V74" s="44"/>
    </row>
    <row r="75" spans="1:22" ht="27.75" customHeight="1" thickBot="1" x14ac:dyDescent="0.3">
      <c r="A75" s="155"/>
      <c r="B75" s="792"/>
      <c r="C75" s="792"/>
      <c r="D75" s="792"/>
      <c r="E75" s="792"/>
      <c r="F75" s="792"/>
      <c r="G75" s="782"/>
      <c r="H75" s="30"/>
      <c r="I75" s="67" t="s">
        <v>42</v>
      </c>
      <c r="J75" s="350" t="s">
        <v>43</v>
      </c>
      <c r="K75" s="351" t="s">
        <v>44</v>
      </c>
      <c r="L75" s="351" t="s">
        <v>45</v>
      </c>
      <c r="M75" s="352" t="s">
        <v>46</v>
      </c>
      <c r="N75" s="71" t="s">
        <v>31</v>
      </c>
      <c r="O75" s="32"/>
      <c r="P75" s="156" t="s">
        <v>42</v>
      </c>
      <c r="Q75" s="350" t="s">
        <v>43</v>
      </c>
      <c r="R75" s="351" t="s">
        <v>44</v>
      </c>
      <c r="S75" s="351" t="s">
        <v>45</v>
      </c>
      <c r="T75" s="352" t="s">
        <v>46</v>
      </c>
      <c r="U75" s="71" t="s">
        <v>31</v>
      </c>
      <c r="V75" s="44"/>
    </row>
    <row r="76" spans="1:22" ht="19.5" customHeight="1" thickBot="1" x14ac:dyDescent="0.3">
      <c r="A76" s="785" t="s">
        <v>41</v>
      </c>
      <c r="B76" s="785"/>
      <c r="C76" s="785"/>
      <c r="D76" s="785" t="s">
        <v>142</v>
      </c>
      <c r="E76" s="785"/>
      <c r="F76" s="785" t="s">
        <v>173</v>
      </c>
      <c r="G76" s="785"/>
      <c r="H76" s="30"/>
      <c r="I76" s="72" t="s">
        <v>22</v>
      </c>
      <c r="J76" s="33">
        <f>L26</f>
        <v>54300</v>
      </c>
      <c r="K76" s="33">
        <f>L57</f>
        <v>30500</v>
      </c>
      <c r="L76" s="33">
        <f>L45</f>
        <v>49200</v>
      </c>
      <c r="M76" s="34">
        <f>L70</f>
        <v>8925</v>
      </c>
      <c r="N76" s="35">
        <f>SUM(J76:M76)</f>
        <v>142925</v>
      </c>
      <c r="O76" s="114"/>
      <c r="P76" s="158" t="s">
        <v>22</v>
      </c>
      <c r="Q76" s="33">
        <v>37500</v>
      </c>
      <c r="R76" s="33">
        <v>6000</v>
      </c>
      <c r="S76" s="33">
        <v>107800</v>
      </c>
      <c r="T76" s="34">
        <v>8925</v>
      </c>
      <c r="U76" s="35">
        <v>160225</v>
      </c>
      <c r="V76" s="44"/>
    </row>
    <row r="77" spans="1:22" ht="31.5" customHeight="1" thickBot="1" x14ac:dyDescent="0.3">
      <c r="A77" s="719" t="s">
        <v>47</v>
      </c>
      <c r="B77" s="719"/>
      <c r="C77" s="719"/>
      <c r="D77" s="724">
        <v>396519</v>
      </c>
      <c r="E77" s="725"/>
      <c r="F77" s="803">
        <f>F85</f>
        <v>292739.06999999995</v>
      </c>
      <c r="G77" s="803"/>
      <c r="H77" s="157"/>
      <c r="I77" s="73" t="s">
        <v>49</v>
      </c>
      <c r="J77" s="36">
        <f>K26</f>
        <v>23000</v>
      </c>
      <c r="K77" s="33">
        <f>K57</f>
        <v>15000</v>
      </c>
      <c r="L77" s="36">
        <f>K45</f>
        <v>14800</v>
      </c>
      <c r="M77" s="37">
        <f>K70</f>
        <v>4100</v>
      </c>
      <c r="N77" s="38">
        <f>SUM(J77:M77)</f>
        <v>56900</v>
      </c>
      <c r="O77" s="114"/>
      <c r="P77" s="159" t="s">
        <v>49</v>
      </c>
      <c r="Q77" s="36">
        <v>16500</v>
      </c>
      <c r="R77" s="33">
        <v>6200</v>
      </c>
      <c r="S77" s="36">
        <v>38400</v>
      </c>
      <c r="T77" s="37">
        <v>3500</v>
      </c>
      <c r="U77" s="38">
        <v>64600</v>
      </c>
      <c r="V77" s="44"/>
    </row>
    <row r="78" spans="1:22" ht="20.100000000000001" customHeight="1" thickBot="1" x14ac:dyDescent="0.3">
      <c r="A78" s="719" t="s">
        <v>48</v>
      </c>
      <c r="B78" s="719"/>
      <c r="C78" s="719"/>
      <c r="D78" s="720">
        <v>3</v>
      </c>
      <c r="E78" s="721"/>
      <c r="F78" s="697">
        <f>0</f>
        <v>0</v>
      </c>
      <c r="G78" s="697"/>
      <c r="H78" s="157"/>
      <c r="I78" s="160" t="s">
        <v>51</v>
      </c>
      <c r="J78" s="36">
        <f>O28</f>
        <v>161610.60400000002</v>
      </c>
      <c r="K78" s="36">
        <f>O59</f>
        <v>44975.6</v>
      </c>
      <c r="L78" s="36">
        <f>O47</f>
        <v>65965.649999999994</v>
      </c>
      <c r="M78" s="37">
        <f>O72</f>
        <v>20187.216</v>
      </c>
      <c r="N78" s="388">
        <f>SUM(J78:M78)</f>
        <v>292739.07000000007</v>
      </c>
      <c r="O78" s="114"/>
      <c r="P78" s="161" t="s">
        <v>51</v>
      </c>
      <c r="Q78" s="36">
        <v>239499</v>
      </c>
      <c r="R78" s="36">
        <v>34560</v>
      </c>
      <c r="S78" s="36">
        <v>101040</v>
      </c>
      <c r="T78" s="37">
        <v>21420</v>
      </c>
      <c r="U78" s="41">
        <v>396519</v>
      </c>
      <c r="V78" s="44"/>
    </row>
    <row r="79" spans="1:22" ht="20.100000000000001" customHeight="1" thickBot="1" x14ac:dyDescent="0.3">
      <c r="A79" s="749" t="s">
        <v>50</v>
      </c>
      <c r="B79" s="750"/>
      <c r="C79" s="751"/>
      <c r="D79" s="720">
        <v>13</v>
      </c>
      <c r="E79" s="721"/>
      <c r="F79" s="697">
        <f>(A70+A57+A45+A26)</f>
        <v>14</v>
      </c>
      <c r="G79" s="697"/>
      <c r="H79" s="157"/>
      <c r="I79" s="67" t="s">
        <v>31</v>
      </c>
      <c r="J79" s="162">
        <f>SUM(J76:J78)</f>
        <v>238910.60400000002</v>
      </c>
      <c r="K79" s="162">
        <f t="shared" ref="K79:M79" si="10">SUM(K76:K78)</f>
        <v>90475.6</v>
      </c>
      <c r="L79" s="162">
        <f>SUM(L76:L78)</f>
        <v>129965.65</v>
      </c>
      <c r="M79" s="163">
        <f t="shared" si="10"/>
        <v>33212.216</v>
      </c>
      <c r="N79" s="389">
        <f>SUM(J79:M79)</f>
        <v>492564.07000000007</v>
      </c>
      <c r="O79" s="24"/>
      <c r="P79" s="156" t="s">
        <v>31</v>
      </c>
      <c r="Q79" s="162">
        <v>293499</v>
      </c>
      <c r="R79" s="162">
        <v>46760</v>
      </c>
      <c r="S79" s="162">
        <v>247240</v>
      </c>
      <c r="T79" s="164">
        <v>33845</v>
      </c>
      <c r="U79" s="165">
        <v>621344</v>
      </c>
      <c r="V79" s="44"/>
    </row>
    <row r="80" spans="1:22" ht="24.75" customHeight="1" thickBot="1" x14ac:dyDescent="0.3">
      <c r="A80" s="719" t="s">
        <v>52</v>
      </c>
      <c r="B80" s="719"/>
      <c r="C80" s="719"/>
      <c r="D80" s="745">
        <v>32</v>
      </c>
      <c r="E80" s="746"/>
      <c r="F80" s="697">
        <f>(H70+I70+H57+I57+H45+I45+H26+I26)</f>
        <v>0</v>
      </c>
      <c r="G80" s="697"/>
      <c r="H80" s="157"/>
      <c r="I80" s="166"/>
      <c r="J80" s="22"/>
      <c r="K80" s="22"/>
      <c r="L80" s="22"/>
      <c r="M80" s="22"/>
      <c r="N80" s="32"/>
      <c r="O80" s="47"/>
      <c r="P80" s="47"/>
      <c r="Q80" s="47"/>
      <c r="R80" s="47"/>
      <c r="S80" s="47"/>
      <c r="T80" s="47"/>
      <c r="U80" s="185"/>
      <c r="V80" s="44"/>
    </row>
    <row r="81" spans="1:22" ht="30" customHeight="1" thickBot="1" x14ac:dyDescent="0.3">
      <c r="A81" s="719" t="s">
        <v>53</v>
      </c>
      <c r="B81" s="719"/>
      <c r="C81" s="719"/>
      <c r="D81" s="745">
        <v>184</v>
      </c>
      <c r="E81" s="746"/>
      <c r="F81" s="767">
        <f>G26+G45+G57+G70</f>
        <v>240</v>
      </c>
      <c r="G81" s="697"/>
      <c r="H81" s="157"/>
      <c r="I81" s="793" t="s">
        <v>99</v>
      </c>
      <c r="J81" s="794"/>
      <c r="K81" s="794"/>
      <c r="L81" s="794"/>
      <c r="M81" s="794"/>
      <c r="N81" s="795"/>
      <c r="O81" s="24"/>
      <c r="P81" s="807" t="s">
        <v>175</v>
      </c>
      <c r="Q81" s="808"/>
      <c r="R81" s="808"/>
      <c r="S81" s="808"/>
      <c r="T81" s="808"/>
      <c r="U81" s="809"/>
      <c r="V81" s="44"/>
    </row>
    <row r="82" spans="1:22" ht="33.75" customHeight="1" thickBot="1" x14ac:dyDescent="0.3">
      <c r="A82" s="742" t="s">
        <v>54</v>
      </c>
      <c r="B82" s="742"/>
      <c r="C82" s="742"/>
      <c r="D82" s="724">
        <v>270699</v>
      </c>
      <c r="E82" s="725"/>
      <c r="F82" s="768">
        <f>M70+M57+M45+M26</f>
        <v>158712.15</v>
      </c>
      <c r="G82" s="768"/>
      <c r="H82" s="157"/>
      <c r="I82" s="67" t="s">
        <v>42</v>
      </c>
      <c r="J82" s="350" t="s">
        <v>43</v>
      </c>
      <c r="K82" s="351" t="s">
        <v>44</v>
      </c>
      <c r="L82" s="351" t="s">
        <v>112</v>
      </c>
      <c r="M82" s="353" t="s">
        <v>46</v>
      </c>
      <c r="N82" s="71" t="s">
        <v>31</v>
      </c>
      <c r="O82" s="24"/>
      <c r="P82" s="156" t="s">
        <v>42</v>
      </c>
      <c r="Q82" s="350" t="s">
        <v>43</v>
      </c>
      <c r="R82" s="351" t="s">
        <v>44</v>
      </c>
      <c r="S82" s="351" t="s">
        <v>45</v>
      </c>
      <c r="T82" s="352" t="s">
        <v>46</v>
      </c>
      <c r="U82" s="71" t="s">
        <v>31</v>
      </c>
      <c r="V82" s="44"/>
    </row>
    <row r="83" spans="1:22" ht="20.100000000000001" customHeight="1" thickBot="1" x14ac:dyDescent="0.3">
      <c r="A83" s="742" t="s">
        <v>55</v>
      </c>
      <c r="B83" s="742"/>
      <c r="C83" s="742"/>
      <c r="D83" s="724">
        <v>139800</v>
      </c>
      <c r="E83" s="725"/>
      <c r="F83" s="768">
        <f>N70+N57+N45+N26</f>
        <v>148918.79999999999</v>
      </c>
      <c r="G83" s="768"/>
      <c r="H83" s="157"/>
      <c r="I83" s="72" t="s">
        <v>22</v>
      </c>
      <c r="J83" s="117">
        <f t="shared" ref="J83:N86" si="11">J76/Q76</f>
        <v>1.448</v>
      </c>
      <c r="K83" s="117">
        <f t="shared" si="11"/>
        <v>5.083333333333333</v>
      </c>
      <c r="L83" s="117">
        <f t="shared" si="11"/>
        <v>0.45640074211502785</v>
      </c>
      <c r="M83" s="118">
        <f t="shared" si="11"/>
        <v>1</v>
      </c>
      <c r="N83" s="212">
        <f t="shared" si="11"/>
        <v>0.89202683726010301</v>
      </c>
      <c r="O83" s="24"/>
      <c r="P83" s="168" t="s">
        <v>48</v>
      </c>
      <c r="Q83" s="128">
        <v>3</v>
      </c>
      <c r="R83" s="126">
        <v>0</v>
      </c>
      <c r="S83" s="126">
        <v>0</v>
      </c>
      <c r="T83" s="139">
        <v>0</v>
      </c>
      <c r="U83" s="141">
        <f t="shared" ref="U83:U88" si="12">SUM(Q83:T83)</f>
        <v>3</v>
      </c>
      <c r="V83" s="44"/>
    </row>
    <row r="84" spans="1:22" ht="20.100000000000001" customHeight="1" thickBot="1" x14ac:dyDescent="0.3">
      <c r="A84" s="742" t="s">
        <v>56</v>
      </c>
      <c r="B84" s="742"/>
      <c r="C84" s="742"/>
      <c r="D84" s="724">
        <v>-13980</v>
      </c>
      <c r="E84" s="725"/>
      <c r="F84" s="768">
        <f>(N71+N58+N46+N27)</f>
        <v>-14891.880000000001</v>
      </c>
      <c r="G84" s="768"/>
      <c r="H84" s="157"/>
      <c r="I84" s="167" t="s">
        <v>49</v>
      </c>
      <c r="J84" s="117">
        <f t="shared" si="11"/>
        <v>1.393939393939394</v>
      </c>
      <c r="K84" s="117">
        <f t="shared" si="11"/>
        <v>2.4193548387096775</v>
      </c>
      <c r="L84" s="117">
        <f t="shared" si="11"/>
        <v>0.38541666666666669</v>
      </c>
      <c r="M84" s="118">
        <f t="shared" si="11"/>
        <v>1.1714285714285715</v>
      </c>
      <c r="N84" s="212">
        <f t="shared" si="11"/>
        <v>0.88080495356037147</v>
      </c>
      <c r="O84" s="24"/>
      <c r="P84" s="169" t="s">
        <v>86</v>
      </c>
      <c r="Q84" s="129">
        <v>3</v>
      </c>
      <c r="R84" s="126">
        <v>2</v>
      </c>
      <c r="S84" s="138">
        <v>7</v>
      </c>
      <c r="T84" s="140">
        <v>1</v>
      </c>
      <c r="U84" s="141">
        <f t="shared" si="12"/>
        <v>13</v>
      </c>
      <c r="V84" s="44"/>
    </row>
    <row r="85" spans="1:22" ht="15.75" thickBot="1" x14ac:dyDescent="0.3">
      <c r="A85" s="737" t="s">
        <v>57</v>
      </c>
      <c r="B85" s="737"/>
      <c r="C85" s="737"/>
      <c r="D85" s="738">
        <f>SUM(D82:E84)</f>
        <v>396519</v>
      </c>
      <c r="E85" s="739"/>
      <c r="F85" s="740">
        <f>F82+F83+F84</f>
        <v>292739.06999999995</v>
      </c>
      <c r="G85" s="740"/>
      <c r="H85" s="157"/>
      <c r="I85" s="74" t="s">
        <v>51</v>
      </c>
      <c r="J85" s="117">
        <f t="shared" si="11"/>
        <v>0.67478613271871712</v>
      </c>
      <c r="K85" s="117">
        <f t="shared" si="11"/>
        <v>1.3013773148148147</v>
      </c>
      <c r="L85" s="117">
        <f t="shared" si="11"/>
        <v>0.65286668646080759</v>
      </c>
      <c r="M85" s="117">
        <f t="shared" si="11"/>
        <v>0.94244705882352942</v>
      </c>
      <c r="N85" s="212">
        <f t="shared" si="11"/>
        <v>0.73827249135602602</v>
      </c>
      <c r="O85" s="42"/>
      <c r="P85" s="171" t="s">
        <v>87</v>
      </c>
      <c r="Q85" s="129">
        <v>32</v>
      </c>
      <c r="R85" s="126">
        <v>0</v>
      </c>
      <c r="S85" s="138">
        <v>0</v>
      </c>
      <c r="T85" s="140">
        <v>0</v>
      </c>
      <c r="U85" s="141">
        <f t="shared" si="12"/>
        <v>32</v>
      </c>
      <c r="V85" s="44"/>
    </row>
    <row r="86" spans="1:22" ht="15.75" thickBot="1" x14ac:dyDescent="0.3">
      <c r="A86" s="42"/>
      <c r="B86" s="42"/>
      <c r="C86" s="42"/>
      <c r="D86" s="42"/>
      <c r="E86" s="42"/>
      <c r="F86" s="42"/>
      <c r="G86" s="112"/>
      <c r="H86" s="112"/>
      <c r="I86" s="75" t="s">
        <v>31</v>
      </c>
      <c r="J86" s="120">
        <f t="shared" si="11"/>
        <v>0.81400823852892179</v>
      </c>
      <c r="K86" s="120">
        <f t="shared" si="11"/>
        <v>1.9348930710008556</v>
      </c>
      <c r="L86" s="120">
        <f t="shared" si="11"/>
        <v>0.52566595211130884</v>
      </c>
      <c r="M86" s="121">
        <f t="shared" si="11"/>
        <v>0.9813034717092628</v>
      </c>
      <c r="N86" s="122">
        <f t="shared" si="11"/>
        <v>0.792739722279446</v>
      </c>
      <c r="O86" s="42"/>
      <c r="P86" s="171" t="s">
        <v>88</v>
      </c>
      <c r="Q86" s="129">
        <v>24</v>
      </c>
      <c r="R86" s="126">
        <v>32</v>
      </c>
      <c r="S86" s="138">
        <v>112</v>
      </c>
      <c r="T86" s="140">
        <v>16</v>
      </c>
      <c r="U86" s="141">
        <f t="shared" si="12"/>
        <v>184</v>
      </c>
      <c r="V86" s="44"/>
    </row>
    <row r="87" spans="1:22" ht="15.75" thickBot="1" x14ac:dyDescent="0.3">
      <c r="A87" s="42"/>
      <c r="B87" s="741"/>
      <c r="C87" s="741"/>
      <c r="D87" s="741"/>
      <c r="E87" s="43"/>
      <c r="F87" s="43"/>
      <c r="G87" s="43"/>
      <c r="H87" s="44"/>
      <c r="I87" s="42"/>
      <c r="J87" s="42"/>
      <c r="K87" s="42"/>
      <c r="L87" s="42"/>
      <c r="M87" s="42"/>
      <c r="N87" s="42"/>
      <c r="O87" s="42"/>
      <c r="P87" s="171" t="s">
        <v>89</v>
      </c>
      <c r="Q87" s="131">
        <v>210699</v>
      </c>
      <c r="R87" s="126">
        <v>0</v>
      </c>
      <c r="S87" s="138">
        <v>60000</v>
      </c>
      <c r="T87" s="37">
        <v>0</v>
      </c>
      <c r="U87" s="141">
        <f t="shared" si="12"/>
        <v>270699</v>
      </c>
      <c r="V87" s="44"/>
    </row>
    <row r="88" spans="1:22" ht="15.75" thickBot="1" x14ac:dyDescent="0.3">
      <c r="A88" s="42"/>
      <c r="B88" s="44"/>
      <c r="C88" s="44"/>
      <c r="D88" s="44"/>
      <c r="E88" s="183"/>
      <c r="F88" s="44"/>
      <c r="G88" s="46"/>
      <c r="H88" s="44"/>
      <c r="I88" s="804" t="s">
        <v>92</v>
      </c>
      <c r="J88" s="805"/>
      <c r="K88" s="805"/>
      <c r="L88" s="805"/>
      <c r="M88" s="805"/>
      <c r="N88" s="806"/>
      <c r="O88" s="42"/>
      <c r="P88" s="171" t="s">
        <v>91</v>
      </c>
      <c r="Q88" s="130">
        <v>28800</v>
      </c>
      <c r="R88" s="39">
        <v>34560</v>
      </c>
      <c r="S88" s="39">
        <v>41040</v>
      </c>
      <c r="T88" s="40">
        <v>21420</v>
      </c>
      <c r="U88" s="141">
        <f t="shared" si="12"/>
        <v>125820</v>
      </c>
      <c r="V88" s="44"/>
    </row>
    <row r="89" spans="1:22" ht="30" thickBot="1" x14ac:dyDescent="0.3">
      <c r="A89" s="42"/>
      <c r="B89" s="44"/>
      <c r="C89" s="44"/>
      <c r="D89" s="44"/>
      <c r="E89" s="183"/>
      <c r="F89" s="44"/>
      <c r="G89" s="46"/>
      <c r="H89" s="44"/>
      <c r="I89" s="67" t="s">
        <v>42</v>
      </c>
      <c r="J89" s="350" t="s">
        <v>43</v>
      </c>
      <c r="K89" s="351" t="s">
        <v>44</v>
      </c>
      <c r="L89" s="351" t="s">
        <v>112</v>
      </c>
      <c r="M89" s="352" t="s">
        <v>46</v>
      </c>
      <c r="N89" s="71" t="s">
        <v>31</v>
      </c>
      <c r="O89" s="42"/>
      <c r="P89" s="174" t="s">
        <v>31</v>
      </c>
      <c r="Q89" s="127">
        <f>SUM(Q87:Q88)</f>
        <v>239499</v>
      </c>
      <c r="R89" s="127">
        <f t="shared" ref="R89:T89" si="13">SUM(R87:R88)</f>
        <v>34560</v>
      </c>
      <c r="S89" s="127">
        <f t="shared" si="13"/>
        <v>101040</v>
      </c>
      <c r="T89" s="127">
        <f t="shared" si="13"/>
        <v>21420</v>
      </c>
      <c r="U89" s="76">
        <f>U87+U88</f>
        <v>396519</v>
      </c>
      <c r="V89" s="44"/>
    </row>
    <row r="90" spans="1:22" x14ac:dyDescent="0.25">
      <c r="A90" s="42"/>
      <c r="B90" s="810"/>
      <c r="C90" s="810"/>
      <c r="D90" s="810"/>
      <c r="E90" s="811"/>
      <c r="F90" s="811"/>
      <c r="G90" s="811"/>
      <c r="H90" s="47"/>
      <c r="I90" s="124" t="s">
        <v>48</v>
      </c>
      <c r="J90" s="117">
        <f>0/Q83</f>
        <v>0</v>
      </c>
      <c r="K90" s="126" t="e">
        <f>0/R83</f>
        <v>#DIV/0!</v>
      </c>
      <c r="L90" s="126" t="e">
        <f>0/S83</f>
        <v>#DIV/0!</v>
      </c>
      <c r="M90" s="118" t="e">
        <f>0/T83</f>
        <v>#DIV/0!</v>
      </c>
      <c r="N90" s="119">
        <f>F78/D78</f>
        <v>0</v>
      </c>
      <c r="O90" s="42"/>
      <c r="P90" s="333"/>
      <c r="Q90" s="44"/>
      <c r="R90" s="44"/>
      <c r="S90" s="44"/>
      <c r="T90" s="44"/>
      <c r="U90" s="44"/>
      <c r="V90" s="44"/>
    </row>
    <row r="91" spans="1:22" ht="15" customHeight="1" x14ac:dyDescent="0.25">
      <c r="A91" s="42"/>
      <c r="B91" s="790"/>
      <c r="C91" s="790"/>
      <c r="D91" s="790"/>
      <c r="E91" s="791"/>
      <c r="F91" s="791"/>
      <c r="G91" s="791"/>
      <c r="H91" s="44"/>
      <c r="I91" s="125" t="s">
        <v>86</v>
      </c>
      <c r="J91" s="142">
        <f>A26/Q84</f>
        <v>2</v>
      </c>
      <c r="K91" s="117">
        <f>A57/R84</f>
        <v>2</v>
      </c>
      <c r="L91" s="173">
        <f>A45/S84</f>
        <v>0.42857142857142855</v>
      </c>
      <c r="M91" s="143">
        <f>A70/T84</f>
        <v>1</v>
      </c>
      <c r="N91" s="148">
        <f>D79/F79</f>
        <v>0.9285714285714286</v>
      </c>
      <c r="O91" s="42"/>
      <c r="P91" s="333"/>
      <c r="Q91" s="44"/>
      <c r="R91" s="44"/>
      <c r="S91" s="799"/>
      <c r="T91" s="799"/>
      <c r="U91" s="44"/>
      <c r="V91" s="44"/>
    </row>
    <row r="92" spans="1:22" x14ac:dyDescent="0.25">
      <c r="A92" s="42"/>
      <c r="B92" s="42"/>
      <c r="C92" s="42"/>
      <c r="D92" s="42"/>
      <c r="E92" s="42"/>
      <c r="F92" s="42"/>
      <c r="G92" s="42"/>
      <c r="H92" s="42"/>
      <c r="I92" s="170" t="s">
        <v>87</v>
      </c>
      <c r="J92" s="142">
        <f>(H26+I26)/Q85</f>
        <v>0</v>
      </c>
      <c r="K92" s="128" t="e">
        <f>(H57+I57)/R85</f>
        <v>#DIV/0!</v>
      </c>
      <c r="L92" s="431" t="e">
        <f>(H45+I45)/S85</f>
        <v>#DIV/0!</v>
      </c>
      <c r="M92" s="143" t="e">
        <f>(H70+I70)/T85</f>
        <v>#DIV/0!</v>
      </c>
      <c r="N92" s="147" t="e">
        <f>D80/F80</f>
        <v>#DIV/0!</v>
      </c>
      <c r="O92" s="42"/>
      <c r="P92" s="333"/>
      <c r="Q92" s="44"/>
      <c r="R92" s="44"/>
      <c r="S92" s="44"/>
      <c r="T92" s="44"/>
      <c r="U92" s="44"/>
      <c r="V92" s="44"/>
    </row>
    <row r="93" spans="1:22" ht="15" customHeight="1" x14ac:dyDescent="0.25">
      <c r="A93" s="42"/>
      <c r="B93" s="42"/>
      <c r="C93" s="42"/>
      <c r="D93" s="42"/>
      <c r="E93" s="42"/>
      <c r="F93" s="42"/>
      <c r="G93" s="42"/>
      <c r="H93" s="42"/>
      <c r="I93" s="74" t="s">
        <v>88</v>
      </c>
      <c r="J93" s="142">
        <f>G26/Q86</f>
        <v>3.6666666666666665</v>
      </c>
      <c r="K93" s="117">
        <f>G57/R86</f>
        <v>2</v>
      </c>
      <c r="L93" s="173">
        <f>G45/S86</f>
        <v>0.6428571428571429</v>
      </c>
      <c r="M93" s="143">
        <f>G70/T86</f>
        <v>1</v>
      </c>
      <c r="N93" s="147">
        <f>D81/F81</f>
        <v>0.76666666666666672</v>
      </c>
      <c r="O93" s="42"/>
      <c r="P93" s="333"/>
      <c r="Q93" s="44"/>
      <c r="R93" s="44"/>
      <c r="S93" s="44"/>
      <c r="T93" s="44"/>
      <c r="U93" s="44"/>
      <c r="V93" s="44"/>
    </row>
    <row r="94" spans="1:22" x14ac:dyDescent="0.25">
      <c r="A94" s="42"/>
      <c r="B94" s="42"/>
      <c r="C94" s="42"/>
      <c r="D94" s="42"/>
      <c r="E94" s="42"/>
      <c r="F94" s="42"/>
      <c r="G94" s="42"/>
      <c r="H94" s="42"/>
      <c r="I94" s="74" t="s">
        <v>89</v>
      </c>
      <c r="J94" s="142">
        <f>M26/Q87</f>
        <v>0.48643277851342431</v>
      </c>
      <c r="K94" s="117" t="e">
        <f>M58/R87</f>
        <v>#DIV/0!</v>
      </c>
      <c r="L94" s="432">
        <f>M45/S87</f>
        <v>0.76342750000000004</v>
      </c>
      <c r="M94" s="143" t="e">
        <f>M70/T87</f>
        <v>#DIV/0!</v>
      </c>
      <c r="N94" s="147">
        <f>D82/F82</f>
        <v>1.705597208531294</v>
      </c>
      <c r="O94" s="42"/>
      <c r="P94" s="333"/>
      <c r="Q94" s="44"/>
      <c r="R94" s="44"/>
      <c r="S94" s="44"/>
      <c r="T94" s="44"/>
      <c r="U94" s="44"/>
      <c r="V94" s="44"/>
    </row>
    <row r="95" spans="1:22" x14ac:dyDescent="0.25">
      <c r="A95" s="42"/>
      <c r="B95" s="183" t="s">
        <v>106</v>
      </c>
      <c r="C95" s="183"/>
      <c r="D95" s="183"/>
      <c r="E95" s="43" t="s">
        <v>107</v>
      </c>
      <c r="F95" s="42"/>
      <c r="G95" s="42"/>
      <c r="H95" s="42"/>
      <c r="I95" s="172" t="s">
        <v>90</v>
      </c>
      <c r="J95" s="142">
        <f>N28/Q88</f>
        <v>2.0527674999999999</v>
      </c>
      <c r="K95" s="173">
        <f>K78/R88</f>
        <v>1.3013773148148147</v>
      </c>
      <c r="L95" s="173">
        <f>L78/S88</f>
        <v>1.6073501461988302</v>
      </c>
      <c r="M95" s="144">
        <f>N72/T88</f>
        <v>0.94244705882352942</v>
      </c>
      <c r="N95" s="147">
        <f>D83/F83</f>
        <v>0.93876662986808923</v>
      </c>
      <c r="O95" s="42"/>
      <c r="P95" s="333"/>
      <c r="Q95" s="44"/>
      <c r="R95" s="44"/>
      <c r="S95" s="44"/>
      <c r="T95" s="44"/>
      <c r="U95" s="44"/>
      <c r="V95" s="44"/>
    </row>
    <row r="96" spans="1:22" ht="15.75" thickBot="1" x14ac:dyDescent="0.3">
      <c r="A96" s="42"/>
      <c r="B96" s="44"/>
      <c r="C96" s="44"/>
      <c r="D96" s="44"/>
      <c r="E96" s="45"/>
      <c r="F96" s="43"/>
      <c r="G96" s="42"/>
      <c r="H96" s="42"/>
      <c r="I96" s="75" t="s">
        <v>31</v>
      </c>
      <c r="J96" s="120">
        <f>J78/Q78</f>
        <v>0.67478613271871712</v>
      </c>
      <c r="K96" s="120">
        <f>K78/R78</f>
        <v>1.3013773148148147</v>
      </c>
      <c r="L96" s="120">
        <f>L78/S78</f>
        <v>0.65286668646080759</v>
      </c>
      <c r="M96" s="120">
        <f>M78/T78</f>
        <v>0.94244705882352942</v>
      </c>
      <c r="N96" s="120">
        <f>N78/U78</f>
        <v>0.73827249135602602</v>
      </c>
      <c r="O96" s="42"/>
      <c r="P96" s="333"/>
      <c r="Q96" s="44"/>
      <c r="R96" s="44"/>
      <c r="S96" s="44"/>
      <c r="T96" s="44"/>
      <c r="U96" s="44"/>
      <c r="V96" s="44"/>
    </row>
    <row r="97" spans="1:22" x14ac:dyDescent="0.25">
      <c r="A97" s="42"/>
      <c r="B97" s="44"/>
      <c r="C97" s="44"/>
      <c r="D97" s="44"/>
      <c r="E97" s="45"/>
      <c r="F97" s="44"/>
      <c r="G97" s="42"/>
      <c r="H97" s="42"/>
      <c r="I97" s="42"/>
      <c r="J97" s="42"/>
      <c r="K97" s="42"/>
      <c r="L97" s="42"/>
      <c r="M97" s="42"/>
      <c r="N97" s="42"/>
      <c r="O97" s="42"/>
      <c r="P97" s="333"/>
      <c r="Q97" s="44"/>
      <c r="R97" s="44"/>
      <c r="S97" s="44"/>
      <c r="T97" s="44"/>
      <c r="U97" s="44"/>
      <c r="V97" s="44"/>
    </row>
    <row r="98" spans="1:22" x14ac:dyDescent="0.25">
      <c r="A98" s="42"/>
      <c r="B98" s="44"/>
      <c r="C98" s="44"/>
      <c r="D98" s="44"/>
      <c r="E98" s="45"/>
      <c r="F98" s="44"/>
      <c r="G98" s="42"/>
      <c r="H98" s="42"/>
      <c r="I98" s="5"/>
      <c r="J98" s="5"/>
      <c r="K98" s="5"/>
      <c r="L98" s="5"/>
      <c r="M98" s="5"/>
      <c r="N98" s="5"/>
      <c r="O98" s="42"/>
      <c r="P98" s="333"/>
      <c r="Q98" s="44"/>
      <c r="R98" s="44"/>
      <c r="S98" s="44"/>
      <c r="T98" s="44"/>
      <c r="U98" s="44"/>
      <c r="V98" s="44"/>
    </row>
    <row r="99" spans="1:22" x14ac:dyDescent="0.25">
      <c r="A99" s="42"/>
      <c r="B99" s="44"/>
      <c r="C99" s="44"/>
      <c r="D99" s="44"/>
      <c r="E99" s="45"/>
      <c r="F99" s="44"/>
      <c r="G99" s="42"/>
      <c r="H99" s="42"/>
      <c r="I99" s="5"/>
      <c r="J99" s="5"/>
      <c r="K99" s="5"/>
      <c r="L99" s="5"/>
      <c r="M99" s="5"/>
      <c r="N99" s="5"/>
      <c r="O99" s="42"/>
      <c r="P99" s="333"/>
      <c r="Q99" s="44"/>
      <c r="R99" s="44"/>
      <c r="S99" s="44"/>
      <c r="T99" s="44"/>
      <c r="U99" s="44"/>
      <c r="V99" s="44"/>
    </row>
    <row r="100" spans="1:22" x14ac:dyDescent="0.25">
      <c r="A100" s="42"/>
      <c r="B100" s="184" t="s">
        <v>108</v>
      </c>
      <c r="C100" s="184"/>
      <c r="D100" s="184"/>
      <c r="E100" s="185" t="s">
        <v>109</v>
      </c>
      <c r="F100" s="44"/>
      <c r="G100" s="42"/>
      <c r="H100" s="42"/>
      <c r="I100" s="5"/>
      <c r="J100" s="5"/>
      <c r="K100" s="5"/>
      <c r="L100" s="5"/>
      <c r="M100" s="5"/>
      <c r="N100" s="5"/>
      <c r="O100" s="42"/>
      <c r="P100" s="333"/>
      <c r="Q100" s="44"/>
      <c r="R100" s="44"/>
      <c r="S100" s="44"/>
      <c r="T100" s="44"/>
      <c r="U100" s="44"/>
      <c r="V100" s="44"/>
    </row>
    <row r="101" spans="1:22" x14ac:dyDescent="0.25">
      <c r="A101" s="42"/>
      <c r="B101" s="44" t="s">
        <v>110</v>
      </c>
      <c r="C101" s="44"/>
      <c r="D101" s="44"/>
      <c r="E101" s="43" t="s">
        <v>111</v>
      </c>
      <c r="F101" s="185"/>
      <c r="G101" s="42"/>
      <c r="H101" s="42"/>
      <c r="I101" s="5"/>
      <c r="J101" s="5"/>
      <c r="K101" s="5"/>
      <c r="L101" s="5"/>
      <c r="M101" s="5"/>
      <c r="N101" s="5"/>
      <c r="O101" s="42"/>
      <c r="P101" s="333"/>
      <c r="Q101" s="44"/>
      <c r="R101" s="44"/>
      <c r="S101" s="44"/>
      <c r="T101" s="44"/>
      <c r="U101" s="44"/>
      <c r="V101" s="44"/>
    </row>
    <row r="102" spans="1:22" x14ac:dyDescent="0.25">
      <c r="A102" s="42"/>
      <c r="B102" s="42"/>
      <c r="C102" s="42"/>
      <c r="D102" s="42"/>
      <c r="E102" s="42"/>
      <c r="F102" s="42"/>
      <c r="G102" s="42"/>
      <c r="H102" s="42"/>
      <c r="I102" s="5"/>
      <c r="J102" s="5"/>
      <c r="K102" s="5"/>
      <c r="L102" s="5"/>
      <c r="M102" s="5"/>
      <c r="N102" s="5"/>
      <c r="O102" s="42"/>
      <c r="P102" s="333"/>
      <c r="Q102" s="44"/>
      <c r="R102" s="44"/>
      <c r="S102" s="44"/>
      <c r="T102" s="44"/>
      <c r="U102" s="44"/>
      <c r="V102" s="44"/>
    </row>
    <row r="103" spans="1:22" x14ac:dyDescent="0.25">
      <c r="A103" s="42"/>
      <c r="B103" s="5"/>
      <c r="C103" s="5"/>
      <c r="D103" s="5"/>
      <c r="E103" s="5"/>
      <c r="F103" s="5"/>
      <c r="G103" s="42"/>
      <c r="H103" s="42"/>
      <c r="I103" s="5"/>
      <c r="J103" s="5"/>
      <c r="K103" s="5"/>
      <c r="L103" s="5"/>
      <c r="M103" s="5"/>
      <c r="N103" s="5"/>
      <c r="O103" s="42"/>
      <c r="P103" s="333"/>
      <c r="Q103" s="44"/>
      <c r="R103" s="44"/>
      <c r="S103" s="44"/>
      <c r="T103" s="44"/>
      <c r="U103" s="44"/>
      <c r="V103" s="44"/>
    </row>
    <row r="104" spans="1:22" x14ac:dyDescent="0.25">
      <c r="A104" s="42"/>
      <c r="B104" s="5"/>
      <c r="C104" s="5"/>
      <c r="D104" s="5"/>
      <c r="E104" s="5"/>
      <c r="F104" s="5"/>
      <c r="G104" s="42"/>
      <c r="H104" s="42"/>
      <c r="I104" s="5"/>
      <c r="J104" s="5"/>
      <c r="K104" s="5"/>
      <c r="L104" s="5"/>
      <c r="M104" s="5"/>
      <c r="N104" s="5"/>
      <c r="O104" s="42"/>
      <c r="P104" s="333"/>
      <c r="Q104" s="44"/>
      <c r="R104" s="44"/>
      <c r="S104" s="44"/>
      <c r="T104" s="44"/>
      <c r="U104" s="44"/>
      <c r="V104" s="44"/>
    </row>
    <row r="105" spans="1:22" x14ac:dyDescent="0.25">
      <c r="A105" s="42"/>
      <c r="B105" s="42"/>
      <c r="C105" s="42"/>
      <c r="D105" s="42"/>
      <c r="E105" s="42"/>
      <c r="F105" s="42"/>
      <c r="G105" s="42"/>
      <c r="H105" s="42"/>
      <c r="I105" s="5"/>
      <c r="J105" s="5"/>
      <c r="K105" s="5"/>
      <c r="L105" s="5"/>
      <c r="M105" s="5"/>
      <c r="N105" s="5"/>
      <c r="O105" s="42"/>
      <c r="P105" s="333"/>
      <c r="Q105" s="44"/>
      <c r="R105" s="44"/>
      <c r="S105" s="44"/>
      <c r="T105" s="44"/>
      <c r="U105" s="44"/>
      <c r="V105" s="44"/>
    </row>
    <row r="106" spans="1:22" x14ac:dyDescent="0.25">
      <c r="A106" s="42"/>
      <c r="B106" s="42"/>
      <c r="C106" s="42"/>
      <c r="D106" s="42"/>
      <c r="E106" s="42"/>
      <c r="F106" s="42"/>
      <c r="G106" s="42"/>
      <c r="H106" s="42"/>
      <c r="I106" s="5"/>
      <c r="J106" s="5"/>
      <c r="K106" s="5"/>
      <c r="L106" s="5"/>
      <c r="M106" s="5"/>
      <c r="N106" s="5"/>
      <c r="O106" s="5"/>
      <c r="P106" s="333"/>
      <c r="Q106" s="44"/>
      <c r="R106" s="44"/>
      <c r="S106" s="44"/>
      <c r="T106" s="44"/>
      <c r="U106" s="44"/>
      <c r="V106" s="44"/>
    </row>
    <row r="107" spans="1:22" x14ac:dyDescent="0.25">
      <c r="A107" s="5"/>
      <c r="B107" s="5"/>
      <c r="C107" s="5"/>
      <c r="D107" s="5"/>
      <c r="E107" s="5"/>
      <c r="F107" s="5"/>
      <c r="G107" s="5"/>
      <c r="H107" s="5"/>
      <c r="I107" s="5"/>
      <c r="J107" s="5"/>
      <c r="K107" s="5"/>
      <c r="L107" s="5"/>
      <c r="M107" s="5"/>
      <c r="N107" s="5"/>
      <c r="O107" s="5"/>
      <c r="P107" s="333"/>
      <c r="Q107" s="44"/>
      <c r="R107" s="44"/>
      <c r="S107" s="44"/>
      <c r="T107" s="44"/>
      <c r="U107" s="44"/>
      <c r="V107" s="44"/>
    </row>
    <row r="108" spans="1:22" x14ac:dyDescent="0.25">
      <c r="A108" s="5"/>
      <c r="B108" s="5"/>
      <c r="C108" s="5"/>
      <c r="D108" s="5"/>
      <c r="E108" s="5"/>
      <c r="F108" s="5"/>
      <c r="G108" s="5"/>
      <c r="H108" s="5"/>
      <c r="I108" s="5"/>
      <c r="J108" s="5"/>
      <c r="K108" s="5"/>
      <c r="L108" s="5"/>
      <c r="M108" s="5"/>
      <c r="N108" s="5"/>
      <c r="O108" s="5"/>
      <c r="P108" s="333"/>
      <c r="Q108" s="44"/>
      <c r="R108" s="44"/>
      <c r="S108" s="44"/>
      <c r="T108" s="44"/>
      <c r="U108" s="44"/>
      <c r="V108" s="44"/>
    </row>
    <row r="109" spans="1:22" x14ac:dyDescent="0.25">
      <c r="A109" s="5"/>
      <c r="B109" s="5"/>
      <c r="C109" s="5"/>
      <c r="D109" s="5"/>
      <c r="E109" s="5"/>
      <c r="F109" s="5"/>
      <c r="G109" s="5"/>
      <c r="H109" s="5"/>
      <c r="I109" s="5"/>
      <c r="J109" s="5"/>
      <c r="K109" s="5"/>
      <c r="L109" s="5"/>
      <c r="M109" s="5"/>
      <c r="N109" s="5"/>
      <c r="O109" s="5"/>
      <c r="P109" s="333"/>
      <c r="Q109" s="44"/>
      <c r="R109" s="44"/>
      <c r="S109" s="44"/>
      <c r="T109" s="44"/>
      <c r="U109" s="44"/>
      <c r="V109" s="44"/>
    </row>
    <row r="110" spans="1:22" x14ac:dyDescent="0.25">
      <c r="A110" s="5"/>
      <c r="B110" s="5"/>
      <c r="C110" s="5"/>
      <c r="D110" s="5"/>
      <c r="E110" s="5"/>
      <c r="F110" s="5"/>
      <c r="G110" s="5"/>
      <c r="H110" s="5"/>
      <c r="I110" s="5"/>
      <c r="J110" s="5"/>
      <c r="K110" s="5"/>
      <c r="L110" s="5"/>
      <c r="M110" s="5"/>
      <c r="N110" s="5"/>
      <c r="O110" s="5"/>
      <c r="P110" s="333"/>
      <c r="Q110" s="44"/>
      <c r="R110" s="44"/>
      <c r="S110" s="44"/>
      <c r="T110" s="44"/>
      <c r="U110" s="44"/>
      <c r="V110" s="44"/>
    </row>
    <row r="111" spans="1:22" x14ac:dyDescent="0.25">
      <c r="A111" s="5"/>
      <c r="B111" s="5"/>
      <c r="C111" s="5"/>
      <c r="D111" s="5"/>
      <c r="E111" s="5"/>
      <c r="F111" s="5"/>
      <c r="G111" s="5"/>
      <c r="H111" s="5"/>
      <c r="I111" s="5"/>
      <c r="J111" s="5"/>
      <c r="K111" s="5"/>
      <c r="L111" s="5"/>
      <c r="M111" s="5"/>
      <c r="N111" s="5"/>
      <c r="O111" s="5"/>
      <c r="P111" s="333"/>
      <c r="Q111" s="44"/>
      <c r="R111" s="44"/>
      <c r="S111" s="44"/>
      <c r="T111" s="44"/>
      <c r="U111" s="44"/>
    </row>
    <row r="112" spans="1:22" x14ac:dyDescent="0.25">
      <c r="A112" s="5"/>
      <c r="B112" s="5"/>
      <c r="C112" s="5"/>
      <c r="D112" s="5"/>
      <c r="E112" s="5"/>
      <c r="F112" s="5"/>
      <c r="G112" s="5"/>
      <c r="H112" s="5"/>
      <c r="I112" s="5"/>
      <c r="J112" s="5"/>
      <c r="K112" s="5"/>
      <c r="L112" s="5"/>
      <c r="M112" s="5"/>
      <c r="N112" s="5"/>
      <c r="O112" s="5"/>
      <c r="P112" s="333"/>
      <c r="Q112" s="44"/>
      <c r="R112" s="44"/>
      <c r="S112" s="44"/>
      <c r="T112" s="44"/>
      <c r="U112" s="44"/>
    </row>
    <row r="113" spans="1:15" x14ac:dyDescent="0.25">
      <c r="A113" s="5"/>
      <c r="B113" s="5"/>
      <c r="C113" s="5"/>
      <c r="D113" s="5"/>
      <c r="E113" s="5"/>
      <c r="F113" s="5"/>
      <c r="G113" s="5"/>
      <c r="H113" s="5"/>
      <c r="I113" s="5"/>
      <c r="J113" s="5"/>
      <c r="K113" s="5"/>
      <c r="L113" s="5"/>
      <c r="M113" s="5"/>
      <c r="N113" s="5"/>
      <c r="O113" s="5"/>
    </row>
    <row r="114" spans="1:15" x14ac:dyDescent="0.25">
      <c r="A114" s="5"/>
      <c r="B114" s="5"/>
      <c r="C114" s="5"/>
      <c r="D114" s="5"/>
      <c r="E114" s="5"/>
      <c r="F114" s="5"/>
      <c r="G114" s="5"/>
      <c r="H114" s="5"/>
      <c r="I114" s="5"/>
      <c r="J114" s="5"/>
      <c r="K114" s="5"/>
      <c r="L114" s="5"/>
      <c r="M114" s="5"/>
      <c r="N114" s="5"/>
      <c r="O114" s="5"/>
    </row>
    <row r="115" spans="1:15" x14ac:dyDescent="0.25">
      <c r="A115" s="5"/>
      <c r="B115" s="5"/>
      <c r="C115" s="5"/>
      <c r="D115" s="5"/>
      <c r="E115" s="5"/>
      <c r="F115" s="5"/>
      <c r="G115" s="5"/>
      <c r="H115" s="5"/>
      <c r="I115" s="5"/>
      <c r="J115" s="5"/>
      <c r="K115" s="5"/>
      <c r="L115" s="5"/>
      <c r="M115" s="5"/>
      <c r="N115" s="5"/>
      <c r="O115" s="5"/>
    </row>
    <row r="116" spans="1:15" x14ac:dyDescent="0.25">
      <c r="A116" s="5"/>
      <c r="B116" s="5"/>
      <c r="C116" s="5"/>
      <c r="D116" s="5"/>
      <c r="E116" s="5"/>
      <c r="F116" s="5"/>
      <c r="G116" s="5"/>
      <c r="H116" s="5"/>
      <c r="I116" s="48"/>
      <c r="J116" s="48"/>
      <c r="K116" s="48"/>
      <c r="L116" s="48"/>
      <c r="M116" s="48"/>
      <c r="N116" s="48"/>
      <c r="O116" s="5"/>
    </row>
    <row r="117" spans="1:15" x14ac:dyDescent="0.25">
      <c r="A117" s="5"/>
      <c r="B117" s="5"/>
      <c r="C117" s="5"/>
      <c r="D117" s="5"/>
      <c r="E117" s="5"/>
      <c r="F117" s="5"/>
      <c r="G117" s="5"/>
      <c r="H117" s="5"/>
      <c r="I117" s="48"/>
      <c r="J117" s="48"/>
      <c r="K117" s="48"/>
      <c r="L117" s="48"/>
      <c r="M117" s="48"/>
      <c r="N117" s="48"/>
      <c r="O117" s="5"/>
    </row>
    <row r="118" spans="1:15" x14ac:dyDescent="0.25">
      <c r="A118" s="5"/>
      <c r="B118" s="5"/>
      <c r="C118" s="5"/>
      <c r="D118" s="5"/>
      <c r="E118" s="5"/>
      <c r="F118" s="5"/>
      <c r="G118" s="5"/>
      <c r="H118" s="5"/>
      <c r="I118" s="48"/>
      <c r="J118" s="48"/>
      <c r="K118" s="48"/>
      <c r="L118" s="48"/>
      <c r="M118" s="48"/>
      <c r="N118" s="48"/>
      <c r="O118" s="5"/>
    </row>
    <row r="119" spans="1:15" x14ac:dyDescent="0.25">
      <c r="A119" s="5"/>
      <c r="B119" s="5"/>
      <c r="C119" s="5"/>
      <c r="D119" s="5"/>
      <c r="E119" s="5"/>
      <c r="F119" s="5"/>
      <c r="G119" s="5"/>
      <c r="H119" s="5"/>
      <c r="I119" s="48"/>
      <c r="J119" s="48"/>
      <c r="K119" s="48"/>
      <c r="L119" s="48"/>
      <c r="M119" s="48"/>
      <c r="N119" s="48"/>
      <c r="O119" s="5"/>
    </row>
    <row r="120" spans="1:15" x14ac:dyDescent="0.25">
      <c r="A120" s="5"/>
      <c r="B120" s="5"/>
      <c r="C120" s="5"/>
      <c r="D120" s="5"/>
      <c r="E120" s="5"/>
      <c r="F120" s="5"/>
      <c r="G120" s="5"/>
      <c r="H120" s="5"/>
      <c r="O120" s="5"/>
    </row>
    <row r="121" spans="1:15" x14ac:dyDescent="0.25">
      <c r="A121" s="5"/>
      <c r="B121" s="5"/>
      <c r="C121" s="5"/>
      <c r="D121" s="5"/>
      <c r="E121" s="5"/>
      <c r="F121" s="5"/>
      <c r="G121" s="5"/>
      <c r="H121" s="5"/>
      <c r="O121" s="5"/>
    </row>
    <row r="122" spans="1:15" x14ac:dyDescent="0.25">
      <c r="A122" s="5"/>
      <c r="B122" s="5"/>
      <c r="C122" s="5"/>
      <c r="D122" s="5"/>
      <c r="E122" s="5"/>
      <c r="F122" s="5"/>
      <c r="G122" s="5"/>
      <c r="H122" s="5"/>
      <c r="O122" s="5"/>
    </row>
    <row r="123" spans="1:15" x14ac:dyDescent="0.25">
      <c r="A123" s="5"/>
      <c r="B123" s="5"/>
      <c r="C123" s="5"/>
      <c r="D123" s="5"/>
      <c r="E123" s="5"/>
      <c r="F123" s="5"/>
      <c r="G123" s="5"/>
      <c r="H123" s="5"/>
      <c r="O123" s="5"/>
    </row>
    <row r="124" spans="1:15" x14ac:dyDescent="0.25">
      <c r="A124" s="5"/>
      <c r="B124" s="5"/>
      <c r="C124" s="5"/>
      <c r="D124" s="5"/>
      <c r="E124" s="5"/>
      <c r="F124" s="5"/>
      <c r="G124" s="5"/>
      <c r="H124" s="5"/>
      <c r="O124" s="5"/>
    </row>
    <row r="125" spans="1:15" x14ac:dyDescent="0.25">
      <c r="A125" s="5"/>
      <c r="B125" s="5"/>
      <c r="C125" s="5"/>
      <c r="D125" s="5"/>
      <c r="E125" s="5"/>
      <c r="F125" s="5"/>
      <c r="G125" s="5"/>
      <c r="H125" s="5"/>
      <c r="O125" s="5"/>
    </row>
    <row r="126" spans="1:15" x14ac:dyDescent="0.25">
      <c r="A126" s="5"/>
      <c r="B126" s="5"/>
      <c r="C126" s="5"/>
      <c r="D126" s="5"/>
      <c r="E126" s="5"/>
      <c r="F126" s="5"/>
      <c r="G126" s="5"/>
      <c r="H126" s="5"/>
      <c r="O126" s="5"/>
    </row>
    <row r="127" spans="1:15" x14ac:dyDescent="0.25">
      <c r="A127" s="5"/>
      <c r="B127" s="5"/>
      <c r="C127" s="5"/>
      <c r="D127" s="5"/>
      <c r="E127" s="5"/>
      <c r="F127" s="5"/>
      <c r="G127" s="5"/>
      <c r="H127" s="5"/>
      <c r="O127" s="5"/>
    </row>
    <row r="128" spans="1:15" x14ac:dyDescent="0.25">
      <c r="A128" s="5"/>
      <c r="B128" s="5"/>
      <c r="C128" s="5"/>
      <c r="D128" s="5"/>
      <c r="E128" s="5"/>
      <c r="F128" s="5"/>
      <c r="G128" s="5"/>
      <c r="H128" s="5"/>
      <c r="O128" s="5"/>
    </row>
    <row r="129" spans="1:15" x14ac:dyDescent="0.25">
      <c r="A129" s="5"/>
      <c r="B129" s="5"/>
      <c r="C129" s="5"/>
      <c r="D129" s="5"/>
      <c r="E129" s="5"/>
      <c r="F129" s="5"/>
      <c r="G129" s="5"/>
      <c r="H129" s="5"/>
      <c r="O129" s="5"/>
    </row>
    <row r="130" spans="1:15" x14ac:dyDescent="0.25">
      <c r="A130" s="5"/>
      <c r="B130" s="5"/>
      <c r="C130" s="5"/>
      <c r="D130" s="5"/>
      <c r="E130" s="5"/>
      <c r="F130" s="5"/>
      <c r="G130" s="5"/>
      <c r="H130" s="5"/>
      <c r="O130" s="5"/>
    </row>
    <row r="131" spans="1:15" x14ac:dyDescent="0.25">
      <c r="A131" s="5"/>
      <c r="B131" s="5"/>
      <c r="C131" s="5"/>
      <c r="D131" s="5"/>
      <c r="E131" s="5"/>
      <c r="F131" s="5"/>
      <c r="G131" s="5"/>
      <c r="H131" s="5"/>
      <c r="O131" s="5"/>
    </row>
    <row r="132" spans="1:15" x14ac:dyDescent="0.25">
      <c r="A132" s="5"/>
      <c r="B132" s="5"/>
      <c r="C132" s="5"/>
      <c r="D132" s="5"/>
      <c r="E132" s="5"/>
      <c r="F132" s="5"/>
      <c r="G132" s="5"/>
      <c r="H132" s="5"/>
      <c r="O132" s="5"/>
    </row>
    <row r="133" spans="1:15" x14ac:dyDescent="0.25">
      <c r="A133" s="5"/>
      <c r="B133" s="5"/>
      <c r="C133" s="5"/>
      <c r="D133" s="5"/>
      <c r="E133" s="5"/>
      <c r="F133" s="5"/>
      <c r="G133" s="5"/>
      <c r="H133" s="5"/>
      <c r="O133" s="5"/>
    </row>
    <row r="134" spans="1:15" x14ac:dyDescent="0.25">
      <c r="A134" s="5"/>
      <c r="B134" s="5"/>
      <c r="C134" s="5"/>
      <c r="D134" s="5"/>
      <c r="E134" s="5"/>
      <c r="F134" s="5"/>
      <c r="G134" s="5"/>
      <c r="H134" s="5"/>
      <c r="O134" s="5"/>
    </row>
    <row r="135" spans="1:15" x14ac:dyDescent="0.25">
      <c r="A135" s="5"/>
      <c r="B135" s="5"/>
      <c r="C135" s="5"/>
      <c r="D135" s="5"/>
      <c r="E135" s="5"/>
      <c r="F135" s="5"/>
      <c r="G135" s="5"/>
      <c r="H135" s="5"/>
      <c r="O135" s="5"/>
    </row>
    <row r="136" spans="1:15" x14ac:dyDescent="0.25">
      <c r="A136" s="5"/>
      <c r="B136" s="5"/>
      <c r="C136" s="5"/>
      <c r="D136" s="5"/>
      <c r="E136" s="5"/>
      <c r="F136" s="5"/>
      <c r="G136" s="5"/>
      <c r="H136" s="5"/>
      <c r="O136" s="5"/>
    </row>
    <row r="137" spans="1:15" x14ac:dyDescent="0.25">
      <c r="A137" s="5"/>
      <c r="B137" s="5"/>
      <c r="C137" s="5"/>
      <c r="D137" s="5"/>
      <c r="E137" s="5"/>
      <c r="F137" s="5"/>
      <c r="G137" s="5"/>
      <c r="H137" s="5"/>
      <c r="O137" s="5"/>
    </row>
    <row r="138" spans="1:15" x14ac:dyDescent="0.25">
      <c r="A138" s="5"/>
      <c r="B138" s="5"/>
      <c r="C138" s="5"/>
      <c r="D138" s="5"/>
      <c r="E138" s="5"/>
      <c r="F138" s="5"/>
      <c r="G138" s="5"/>
      <c r="H138" s="5"/>
      <c r="O138" s="5"/>
    </row>
    <row r="139" spans="1:15" x14ac:dyDescent="0.25">
      <c r="A139" s="5"/>
      <c r="B139" s="5"/>
      <c r="C139" s="5"/>
      <c r="D139" s="5"/>
      <c r="E139" s="5"/>
      <c r="F139" s="5"/>
      <c r="G139" s="5"/>
      <c r="H139" s="5"/>
      <c r="O139" s="5"/>
    </row>
    <row r="140" spans="1:15" x14ac:dyDescent="0.25">
      <c r="A140" s="5"/>
      <c r="B140" s="5"/>
      <c r="C140" s="5"/>
      <c r="D140" s="5"/>
      <c r="E140" s="5"/>
      <c r="F140" s="5"/>
      <c r="G140" s="5"/>
      <c r="H140" s="5"/>
      <c r="O140" s="5"/>
    </row>
    <row r="141" spans="1:15" x14ac:dyDescent="0.25">
      <c r="A141" s="5"/>
      <c r="B141" s="5"/>
      <c r="C141" s="5"/>
      <c r="D141" s="5"/>
      <c r="E141" s="5"/>
      <c r="F141" s="5"/>
      <c r="G141" s="5"/>
      <c r="H141" s="5"/>
      <c r="O141" s="5"/>
    </row>
    <row r="142" spans="1:15" x14ac:dyDescent="0.25">
      <c r="A142" s="5"/>
      <c r="B142" s="5"/>
      <c r="C142" s="5"/>
      <c r="D142" s="5"/>
      <c r="E142" s="5"/>
      <c r="F142" s="5"/>
      <c r="G142" s="5"/>
      <c r="H142" s="5"/>
      <c r="O142" s="5"/>
    </row>
    <row r="143" spans="1:15" x14ac:dyDescent="0.25">
      <c r="A143" s="5"/>
      <c r="B143" s="5"/>
      <c r="C143" s="5"/>
      <c r="D143" s="5"/>
      <c r="E143" s="5"/>
      <c r="F143" s="5"/>
      <c r="G143" s="5"/>
      <c r="H143" s="5"/>
      <c r="O143" s="5"/>
    </row>
    <row r="144" spans="1:15" x14ac:dyDescent="0.25">
      <c r="A144" s="5"/>
      <c r="B144" s="5"/>
      <c r="C144" s="5"/>
      <c r="D144" s="5"/>
      <c r="E144" s="5"/>
      <c r="F144" s="5"/>
      <c r="G144" s="5"/>
      <c r="H144" s="5"/>
      <c r="O144" s="5"/>
    </row>
    <row r="145" spans="1:15" x14ac:dyDescent="0.25">
      <c r="A145" s="5"/>
      <c r="B145" s="5"/>
      <c r="C145" s="5"/>
      <c r="D145" s="5"/>
      <c r="E145" s="5"/>
      <c r="F145" s="5"/>
      <c r="G145" s="5"/>
      <c r="H145" s="5"/>
      <c r="O145" s="5"/>
    </row>
    <row r="146" spans="1:15" x14ac:dyDescent="0.25">
      <c r="A146" s="5"/>
      <c r="B146" s="5"/>
      <c r="C146" s="5"/>
      <c r="D146" s="5"/>
      <c r="E146" s="5"/>
      <c r="F146" s="5"/>
      <c r="G146" s="5"/>
      <c r="H146" s="5"/>
      <c r="O146" s="5"/>
    </row>
    <row r="147" spans="1:15" x14ac:dyDescent="0.25">
      <c r="A147" s="5"/>
      <c r="B147" s="5"/>
      <c r="C147" s="5"/>
      <c r="D147" s="5"/>
      <c r="E147" s="5"/>
      <c r="F147" s="5"/>
      <c r="G147" s="5"/>
      <c r="H147" s="5"/>
      <c r="O147" s="48"/>
    </row>
    <row r="148" spans="1:15" x14ac:dyDescent="0.25">
      <c r="A148" s="48"/>
      <c r="B148" s="48"/>
      <c r="C148" s="48"/>
      <c r="D148" s="48"/>
      <c r="E148" s="48"/>
      <c r="F148" s="48"/>
      <c r="G148" s="48"/>
      <c r="H148" s="48"/>
      <c r="O148" s="48"/>
    </row>
    <row r="149" spans="1:15" x14ac:dyDescent="0.25">
      <c r="A149" s="48"/>
      <c r="B149" s="48"/>
      <c r="C149" s="48"/>
      <c r="D149" s="48"/>
      <c r="E149" s="48"/>
      <c r="F149" s="48"/>
      <c r="G149" s="48"/>
      <c r="H149" s="48"/>
      <c r="O149" s="48"/>
    </row>
    <row r="150" spans="1:15" x14ac:dyDescent="0.25">
      <c r="A150" s="48"/>
      <c r="B150" s="48"/>
      <c r="C150" s="48"/>
      <c r="D150" s="48"/>
      <c r="E150" s="48"/>
      <c r="F150" s="48"/>
      <c r="G150" s="48"/>
      <c r="H150" s="48"/>
      <c r="O150" s="48"/>
    </row>
    <row r="151" spans="1:15" x14ac:dyDescent="0.25">
      <c r="A151" s="48"/>
      <c r="B151" s="48"/>
      <c r="C151" s="48"/>
      <c r="D151" s="48"/>
      <c r="E151" s="48"/>
      <c r="F151" s="48"/>
      <c r="G151" s="48"/>
      <c r="H151" s="48"/>
    </row>
  </sheetData>
  <sheetProtection formatCells="0" formatColumns="0" formatRows="0" insertColumns="0" insertRows="0" insertHyperlinks="0" deleteColumns="0" deleteRows="0" sort="0" autoFilter="0" pivotTables="0"/>
  <mergeCells count="119">
    <mergeCell ref="S91:T91"/>
    <mergeCell ref="P74:U74"/>
    <mergeCell ref="A76:C76"/>
    <mergeCell ref="D76:E76"/>
    <mergeCell ref="F76:G76"/>
    <mergeCell ref="A80:C80"/>
    <mergeCell ref="D80:E80"/>
    <mergeCell ref="F80:G80"/>
    <mergeCell ref="A77:C77"/>
    <mergeCell ref="D77:E77"/>
    <mergeCell ref="F77:G77"/>
    <mergeCell ref="A78:C78"/>
    <mergeCell ref="D78:E78"/>
    <mergeCell ref="F78:G78"/>
    <mergeCell ref="A79:C79"/>
    <mergeCell ref="D79:E79"/>
    <mergeCell ref="F79:G79"/>
    <mergeCell ref="B87:D87"/>
    <mergeCell ref="I88:N88"/>
    <mergeCell ref="P81:U81"/>
    <mergeCell ref="B90:D90"/>
    <mergeCell ref="E90:G90"/>
    <mergeCell ref="A85:C85"/>
    <mergeCell ref="D85:E85"/>
    <mergeCell ref="B91:D91"/>
    <mergeCell ref="E91:G91"/>
    <mergeCell ref="N63:N65"/>
    <mergeCell ref="O63:O65"/>
    <mergeCell ref="H64:H65"/>
    <mergeCell ref="I64:I65"/>
    <mergeCell ref="B70:F70"/>
    <mergeCell ref="A71:G71"/>
    <mergeCell ref="A72:G72"/>
    <mergeCell ref="B74:G75"/>
    <mergeCell ref="I74:N74"/>
    <mergeCell ref="A63:A65"/>
    <mergeCell ref="B63:C64"/>
    <mergeCell ref="D63:D65"/>
    <mergeCell ref="E63:E65"/>
    <mergeCell ref="F63:F65"/>
    <mergeCell ref="G63:G65"/>
    <mergeCell ref="H63:I63"/>
    <mergeCell ref="J63:J65"/>
    <mergeCell ref="M63:M65"/>
    <mergeCell ref="I81:N81"/>
    <mergeCell ref="A84:C84"/>
    <mergeCell ref="D84:E84"/>
    <mergeCell ref="F84:G84"/>
    <mergeCell ref="N31:N33"/>
    <mergeCell ref="O31:O33"/>
    <mergeCell ref="H32:H33"/>
    <mergeCell ref="I32:I33"/>
    <mergeCell ref="A30:M30"/>
    <mergeCell ref="A31:A33"/>
    <mergeCell ref="B31:C32"/>
    <mergeCell ref="D31:D33"/>
    <mergeCell ref="E31:E33"/>
    <mergeCell ref="F31:F33"/>
    <mergeCell ref="G31:G33"/>
    <mergeCell ref="H31:I31"/>
    <mergeCell ref="J31:J33"/>
    <mergeCell ref="M31:M33"/>
    <mergeCell ref="A1:O1"/>
    <mergeCell ref="A3:O3"/>
    <mergeCell ref="A4:O4"/>
    <mergeCell ref="A6:O6"/>
    <mergeCell ref="A8:N9"/>
    <mergeCell ref="A11:O11"/>
    <mergeCell ref="B45:F45"/>
    <mergeCell ref="A46:G46"/>
    <mergeCell ref="N15:N17"/>
    <mergeCell ref="O15:O17"/>
    <mergeCell ref="I16:I17"/>
    <mergeCell ref="B26:F26"/>
    <mergeCell ref="A27:G27"/>
    <mergeCell ref="A28:G28"/>
    <mergeCell ref="A14:O14"/>
    <mergeCell ref="A15:A17"/>
    <mergeCell ref="B15:C16"/>
    <mergeCell ref="D15:D17"/>
    <mergeCell ref="E15:E17"/>
    <mergeCell ref="F15:F17"/>
    <mergeCell ref="G15:G17"/>
    <mergeCell ref="H15:I15"/>
    <mergeCell ref="J15:J17"/>
    <mergeCell ref="M15:M17"/>
    <mergeCell ref="K63:K65"/>
    <mergeCell ref="L63:L65"/>
    <mergeCell ref="B57:F57"/>
    <mergeCell ref="F85:G85"/>
    <mergeCell ref="A81:C81"/>
    <mergeCell ref="D81:E81"/>
    <mergeCell ref="F81:G81"/>
    <mergeCell ref="A82:C82"/>
    <mergeCell ref="D82:E82"/>
    <mergeCell ref="F82:G82"/>
    <mergeCell ref="A83:C83"/>
    <mergeCell ref="D83:E83"/>
    <mergeCell ref="F83:G83"/>
    <mergeCell ref="A58:G58"/>
    <mergeCell ref="A59:G59"/>
    <mergeCell ref="A47:G47"/>
    <mergeCell ref="A49:M49"/>
    <mergeCell ref="A50:A52"/>
    <mergeCell ref="B50:C51"/>
    <mergeCell ref="D50:D52"/>
    <mergeCell ref="E50:E52"/>
    <mergeCell ref="F50:F52"/>
    <mergeCell ref="G50:G52"/>
    <mergeCell ref="A62:O62"/>
    <mergeCell ref="H50:I50"/>
    <mergeCell ref="J50:J52"/>
    <mergeCell ref="M50:M52"/>
    <mergeCell ref="N50:N52"/>
    <mergeCell ref="O50:O52"/>
    <mergeCell ref="H51:H52"/>
    <mergeCell ref="I51:I52"/>
    <mergeCell ref="L50:L52"/>
    <mergeCell ref="K50:K52"/>
  </mergeCells>
  <conditionalFormatting sqref="J76:M78">
    <cfRule type="dataBar" priority="19">
      <dataBar>
        <cfvo type="min"/>
        <cfvo type="max"/>
        <color rgb="FF63C384"/>
      </dataBar>
      <extLst>
        <ext xmlns:x14="http://schemas.microsoft.com/office/spreadsheetml/2009/9/main" uri="{B025F937-C7B1-47D3-B67F-A62EFF666E3E}">
          <x14:id>{1CF147BD-4351-4E05-8010-1C42D099D654}</x14:id>
        </ext>
      </extLst>
    </cfRule>
  </conditionalFormatting>
  <conditionalFormatting sqref="J83:M85">
    <cfRule type="dataBar" priority="18">
      <dataBar>
        <cfvo type="min"/>
        <cfvo type="max"/>
        <color rgb="FF63C384"/>
      </dataBar>
      <extLst>
        <ext xmlns:x14="http://schemas.microsoft.com/office/spreadsheetml/2009/9/main" uri="{B025F937-C7B1-47D3-B67F-A62EFF666E3E}">
          <x14:id>{46DF1FC5-5385-403F-BA24-E16794E9DCCB}</x14:id>
        </ext>
      </extLst>
    </cfRule>
  </conditionalFormatting>
  <conditionalFormatting sqref="J90:M95">
    <cfRule type="dataBar" priority="16">
      <dataBar>
        <cfvo type="min"/>
        <cfvo type="max"/>
        <color rgb="FFFF555A"/>
      </dataBar>
      <extLst>
        <ext xmlns:x14="http://schemas.microsoft.com/office/spreadsheetml/2009/9/main" uri="{B025F937-C7B1-47D3-B67F-A62EFF666E3E}">
          <x14:id>{8610BD6F-A9DE-403B-8879-E5CFEA703CC2}</x14:id>
        </ext>
      </extLst>
    </cfRule>
  </conditionalFormatting>
  <conditionalFormatting sqref="J76:N78">
    <cfRule type="dataBar" priority="10">
      <dataBar>
        <cfvo type="min"/>
        <cfvo type="max"/>
        <color rgb="FF638EC6"/>
      </dataBar>
      <extLst>
        <ext xmlns:x14="http://schemas.microsoft.com/office/spreadsheetml/2009/9/main" uri="{B025F937-C7B1-47D3-B67F-A62EFF666E3E}">
          <x14:id>{71C9E991-343C-42E3-B0B1-AACC24BED94A}</x14:id>
        </ext>
      </extLst>
    </cfRule>
    <cfRule type="colorScale" priority="12">
      <colorScale>
        <cfvo type="min"/>
        <cfvo type="max"/>
        <color rgb="FFFCFCFF"/>
        <color rgb="FF63BE7B"/>
      </colorScale>
    </cfRule>
    <cfRule type="top10" dxfId="2" priority="13" rank="5"/>
    <cfRule type="colorScale" priority="15">
      <colorScale>
        <cfvo type="min"/>
        <cfvo type="percentile" val="50"/>
        <cfvo type="max"/>
        <color rgb="FFF8696B"/>
        <color rgb="FFFFEB84"/>
        <color rgb="FF63BE7B"/>
      </colorScale>
    </cfRule>
  </conditionalFormatting>
  <conditionalFormatting sqref="J90:N95">
    <cfRule type="colorScale" priority="11">
      <colorScale>
        <cfvo type="min"/>
        <cfvo type="max"/>
        <color rgb="FFFCFCFF"/>
        <color rgb="FF63BE7B"/>
      </colorScale>
    </cfRule>
  </conditionalFormatting>
  <conditionalFormatting sqref="K77">
    <cfRule type="dataBar" priority="14">
      <dataBar>
        <cfvo type="min"/>
        <cfvo type="max"/>
        <color rgb="FFFFB628"/>
      </dataBar>
      <extLst>
        <ext xmlns:x14="http://schemas.microsoft.com/office/spreadsheetml/2009/9/main" uri="{B025F937-C7B1-47D3-B67F-A62EFF666E3E}">
          <x14:id>{D2BEAF22-F0EC-449D-B9C8-FE7B2FC02FDA}</x14:id>
        </ext>
      </extLst>
    </cfRule>
  </conditionalFormatting>
  <conditionalFormatting sqref="N83:N85">
    <cfRule type="dataBar" priority="4">
      <dataBar>
        <cfvo type="min"/>
        <cfvo type="max"/>
        <color rgb="FF63C384"/>
      </dataBar>
      <extLst>
        <ext xmlns:x14="http://schemas.microsoft.com/office/spreadsheetml/2009/9/main" uri="{B025F937-C7B1-47D3-B67F-A62EFF666E3E}">
          <x14:id>{3DE5F9E5-3485-4056-870F-4C80F251E738}</x14:id>
        </ext>
      </extLst>
    </cfRule>
  </conditionalFormatting>
  <conditionalFormatting sqref="Q76:T78">
    <cfRule type="dataBar" priority="17">
      <dataBar>
        <cfvo type="min"/>
        <cfvo type="max"/>
        <color rgb="FF63C384"/>
      </dataBar>
      <extLst>
        <ext xmlns:x14="http://schemas.microsoft.com/office/spreadsheetml/2009/9/main" uri="{B025F937-C7B1-47D3-B67F-A62EFF666E3E}">
          <x14:id>{19BB610D-99F0-48D6-9120-78EF102483C3}</x14:id>
        </ext>
      </extLst>
    </cfRule>
  </conditionalFormatting>
  <conditionalFormatting sqref="Q83:T88">
    <cfRule type="dataBar" priority="9">
      <dataBar>
        <cfvo type="min"/>
        <cfvo type="max"/>
        <color rgb="FF63C384"/>
      </dataBar>
      <extLst>
        <ext xmlns:x14="http://schemas.microsoft.com/office/spreadsheetml/2009/9/main" uri="{B025F937-C7B1-47D3-B67F-A62EFF666E3E}">
          <x14:id>{50729238-C81E-4F36-9A2B-7F333FB712A0}</x14:id>
        </ext>
      </extLst>
    </cfRule>
  </conditionalFormatting>
  <conditionalFormatting sqref="Q89:U89">
    <cfRule type="colorScale" priority="8">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scale="42" orientation="landscape" r:id="rId1"/>
  <rowBreaks count="3" manualBreakCount="3">
    <brk id="29" max="14" man="1"/>
    <brk id="47" max="14" man="1"/>
    <brk id="73" max="14" man="1"/>
  </rowBreaks>
  <drawing r:id="rId2"/>
  <extLst>
    <ext xmlns:x14="http://schemas.microsoft.com/office/spreadsheetml/2009/9/main" uri="{78C0D931-6437-407d-A8EE-F0AAD7539E65}">
      <x14:conditionalFormattings>
        <x14:conditionalFormatting xmlns:xm="http://schemas.microsoft.com/office/excel/2006/main">
          <x14:cfRule type="dataBar" id="{1CF147BD-4351-4E05-8010-1C42D099D654}">
            <x14:dataBar minLength="0" maxLength="100" border="1" negativeBarBorderColorSameAsPositive="0">
              <x14:cfvo type="autoMin"/>
              <x14:cfvo type="autoMax"/>
              <x14:borderColor rgb="FF63C384"/>
              <x14:negativeFillColor rgb="FFFF0000"/>
              <x14:negativeBorderColor rgb="FFFF0000"/>
              <x14:axisColor rgb="FF000000"/>
            </x14:dataBar>
          </x14:cfRule>
          <xm:sqref>J76:M78</xm:sqref>
        </x14:conditionalFormatting>
        <x14:conditionalFormatting xmlns:xm="http://schemas.microsoft.com/office/excel/2006/main">
          <x14:cfRule type="dataBar" id="{46DF1FC5-5385-403F-BA24-E16794E9DCCB}">
            <x14:dataBar minLength="0" maxLength="100" border="1" negativeBarBorderColorSameAsPositive="0">
              <x14:cfvo type="autoMin"/>
              <x14:cfvo type="autoMax"/>
              <x14:borderColor rgb="FF63C384"/>
              <x14:negativeFillColor rgb="FFFF0000"/>
              <x14:negativeBorderColor rgb="FFFF0000"/>
              <x14:axisColor rgb="FF000000"/>
            </x14:dataBar>
          </x14:cfRule>
          <xm:sqref>J83:M85</xm:sqref>
        </x14:conditionalFormatting>
        <x14:conditionalFormatting xmlns:xm="http://schemas.microsoft.com/office/excel/2006/main">
          <x14:cfRule type="dataBar" id="{8610BD6F-A9DE-403B-8879-E5CFEA703CC2}">
            <x14:dataBar minLength="0" maxLength="100" border="1" negativeBarBorderColorSameAsPositive="0">
              <x14:cfvo type="autoMin"/>
              <x14:cfvo type="autoMax"/>
              <x14:borderColor rgb="FFFF555A"/>
              <x14:negativeFillColor rgb="FFFF0000"/>
              <x14:negativeBorderColor rgb="FFFF0000"/>
              <x14:axisColor rgb="FF000000"/>
            </x14:dataBar>
          </x14:cfRule>
          <xm:sqref>J90:M95</xm:sqref>
        </x14:conditionalFormatting>
        <x14:conditionalFormatting xmlns:xm="http://schemas.microsoft.com/office/excel/2006/main">
          <x14:cfRule type="dataBar" id="{71C9E991-343C-42E3-B0B1-AACC24BED94A}">
            <x14:dataBar minLength="0" maxLength="100" border="1" negativeBarBorderColorSameAsPositive="0">
              <x14:cfvo type="autoMin"/>
              <x14:cfvo type="autoMax"/>
              <x14:borderColor rgb="FF638EC6"/>
              <x14:negativeFillColor rgb="FFFF0000"/>
              <x14:negativeBorderColor rgb="FFFF0000"/>
              <x14:axisColor rgb="FF000000"/>
            </x14:dataBar>
          </x14:cfRule>
          <xm:sqref>J76:N78</xm:sqref>
        </x14:conditionalFormatting>
        <x14:conditionalFormatting xmlns:xm="http://schemas.microsoft.com/office/excel/2006/main">
          <x14:cfRule type="dataBar" id="{D2BEAF22-F0EC-449D-B9C8-FE7B2FC02FDA}">
            <x14:dataBar minLength="0" maxLength="100" border="1" negativeBarBorderColorSameAsPositive="0">
              <x14:cfvo type="autoMin"/>
              <x14:cfvo type="autoMax"/>
              <x14:borderColor rgb="FFFFB628"/>
              <x14:negativeFillColor rgb="FFFF0000"/>
              <x14:negativeBorderColor rgb="FFFF0000"/>
              <x14:axisColor rgb="FF000000"/>
            </x14:dataBar>
          </x14:cfRule>
          <xm:sqref>K77</xm:sqref>
        </x14:conditionalFormatting>
        <x14:conditionalFormatting xmlns:xm="http://schemas.microsoft.com/office/excel/2006/main">
          <x14:cfRule type="dataBar" id="{3DE5F9E5-3485-4056-870F-4C80F251E738}">
            <x14:dataBar minLength="0" maxLength="100" border="1" negativeBarBorderColorSameAsPositive="0">
              <x14:cfvo type="autoMin"/>
              <x14:cfvo type="autoMax"/>
              <x14:borderColor rgb="FF63C384"/>
              <x14:negativeFillColor rgb="FFFF0000"/>
              <x14:negativeBorderColor rgb="FFFF0000"/>
              <x14:axisColor rgb="FF000000"/>
            </x14:dataBar>
          </x14:cfRule>
          <xm:sqref>N83:N85</xm:sqref>
        </x14:conditionalFormatting>
        <x14:conditionalFormatting xmlns:xm="http://schemas.microsoft.com/office/excel/2006/main">
          <x14:cfRule type="dataBar" id="{19BB610D-99F0-48D6-9120-78EF102483C3}">
            <x14:dataBar minLength="0" maxLength="100" border="1" negativeBarBorderColorSameAsPositive="0">
              <x14:cfvo type="autoMin"/>
              <x14:cfvo type="autoMax"/>
              <x14:borderColor rgb="FF63C384"/>
              <x14:negativeFillColor rgb="FFFF0000"/>
              <x14:negativeBorderColor rgb="FFFF0000"/>
              <x14:axisColor rgb="FF000000"/>
            </x14:dataBar>
          </x14:cfRule>
          <xm:sqref>Q76:T78</xm:sqref>
        </x14:conditionalFormatting>
        <x14:conditionalFormatting xmlns:xm="http://schemas.microsoft.com/office/excel/2006/main">
          <x14:cfRule type="dataBar" id="{50729238-C81E-4F36-9A2B-7F333FB712A0}">
            <x14:dataBar minLength="0" maxLength="100" border="1" negativeBarBorderColorSameAsPositive="0">
              <x14:cfvo type="autoMin"/>
              <x14:cfvo type="autoMax"/>
              <x14:borderColor rgb="FF63C384"/>
              <x14:negativeFillColor rgb="FFFF0000"/>
              <x14:negativeBorderColor rgb="FFFF0000"/>
              <x14:axisColor rgb="FF000000"/>
            </x14:dataBar>
          </x14:cfRule>
          <xm:sqref>Q83:T88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B9197-F5B0-4590-B727-37417B247A29}">
  <dimension ref="A1:V149"/>
  <sheetViews>
    <sheetView tabSelected="1" zoomScale="70" zoomScaleNormal="70" zoomScaleSheetLayoutView="80" workbookViewId="0">
      <selection activeCell="A28" sqref="A1:XFD1048576"/>
    </sheetView>
  </sheetViews>
  <sheetFormatPr baseColWidth="10" defaultRowHeight="15.75" x14ac:dyDescent="0.25"/>
  <cols>
    <col min="1" max="1" width="4" style="452" customWidth="1"/>
    <col min="2" max="2" width="16" style="452" customWidth="1"/>
    <col min="3" max="3" width="43.42578125" style="452" customWidth="1"/>
    <col min="4" max="4" width="19.140625" style="452" customWidth="1"/>
    <col min="5" max="5" width="15.140625" style="452" customWidth="1"/>
    <col min="6" max="6" width="13.140625" style="452" customWidth="1"/>
    <col min="7" max="7" width="14.28515625" style="452" customWidth="1"/>
    <col min="8" max="8" width="12" style="452" customWidth="1"/>
    <col min="9" max="9" width="17" style="452" customWidth="1"/>
    <col min="10" max="10" width="17.28515625" style="452" customWidth="1"/>
    <col min="11" max="11" width="16.7109375" style="452" customWidth="1"/>
    <col min="12" max="12" width="17.42578125" style="452" customWidth="1"/>
    <col min="13" max="13" width="17.140625" style="452" customWidth="1"/>
    <col min="14" max="14" width="18.5703125" style="452" customWidth="1"/>
    <col min="15" max="15" width="14.85546875" style="452" customWidth="1"/>
    <col min="16" max="16" width="18.42578125" style="452" customWidth="1"/>
    <col min="17" max="17" width="13.85546875" style="452" bestFit="1" customWidth="1"/>
    <col min="18" max="18" width="15" style="452" customWidth="1"/>
    <col min="19" max="19" width="13.7109375" style="452" customWidth="1"/>
    <col min="20" max="20" width="14.42578125" style="452" customWidth="1"/>
    <col min="21" max="21" width="14" style="452" customWidth="1"/>
    <col min="22" max="22" width="12.42578125" style="452" bestFit="1" customWidth="1"/>
    <col min="23" max="16384" width="11.42578125" style="452"/>
  </cols>
  <sheetData>
    <row r="1" spans="1:18" x14ac:dyDescent="0.25">
      <c r="A1" s="864" t="s">
        <v>0</v>
      </c>
      <c r="B1" s="864"/>
      <c r="C1" s="864"/>
      <c r="D1" s="864"/>
      <c r="E1" s="864"/>
      <c r="F1" s="864"/>
      <c r="G1" s="864"/>
      <c r="H1" s="864"/>
      <c r="I1" s="864"/>
      <c r="J1" s="864"/>
      <c r="K1" s="864"/>
      <c r="L1" s="864"/>
      <c r="M1" s="864"/>
      <c r="N1" s="864"/>
      <c r="O1" s="864"/>
    </row>
    <row r="2" spans="1:18" ht="6.75" customHeight="1" x14ac:dyDescent="0.25">
      <c r="A2" s="451"/>
      <c r="B2" s="451"/>
      <c r="C2" s="451"/>
      <c r="D2" s="451"/>
      <c r="E2" s="451"/>
      <c r="F2" s="451"/>
      <c r="G2" s="451"/>
      <c r="H2" s="451"/>
      <c r="I2" s="451"/>
      <c r="J2" s="451"/>
      <c r="K2" s="451"/>
      <c r="L2" s="451"/>
      <c r="M2" s="451"/>
      <c r="N2" s="451"/>
      <c r="O2" s="451"/>
    </row>
    <row r="3" spans="1:18" x14ac:dyDescent="0.25">
      <c r="A3" s="685" t="s">
        <v>1</v>
      </c>
      <c r="B3" s="685"/>
      <c r="C3" s="685"/>
      <c r="D3" s="685"/>
      <c r="E3" s="685"/>
      <c r="F3" s="685"/>
      <c r="G3" s="685"/>
      <c r="H3" s="685"/>
      <c r="I3" s="685"/>
      <c r="J3" s="685"/>
      <c r="K3" s="685"/>
      <c r="L3" s="685"/>
      <c r="M3" s="685"/>
      <c r="N3" s="685"/>
      <c r="O3" s="685"/>
    </row>
    <row r="4" spans="1:18" x14ac:dyDescent="0.25">
      <c r="A4" s="685" t="s">
        <v>2</v>
      </c>
      <c r="B4" s="685"/>
      <c r="C4" s="685"/>
      <c r="D4" s="685"/>
      <c r="E4" s="685"/>
      <c r="F4" s="685"/>
      <c r="G4" s="685"/>
      <c r="H4" s="685"/>
      <c r="I4" s="685"/>
      <c r="J4" s="685"/>
      <c r="K4" s="685"/>
      <c r="L4" s="685"/>
      <c r="M4" s="685"/>
      <c r="N4" s="685"/>
      <c r="O4" s="685"/>
    </row>
    <row r="5" spans="1:18" ht="6" customHeight="1" x14ac:dyDescent="0.25">
      <c r="A5" s="2"/>
      <c r="B5" s="2"/>
      <c r="C5" s="2"/>
      <c r="D5" s="2"/>
      <c r="E5" s="2"/>
      <c r="F5" s="2"/>
      <c r="G5" s="2"/>
      <c r="H5" s="2"/>
      <c r="I5" s="2"/>
      <c r="J5" s="2"/>
      <c r="K5" s="2"/>
      <c r="L5" s="2"/>
      <c r="M5" s="2"/>
      <c r="N5" s="2"/>
      <c r="O5" s="2"/>
    </row>
    <row r="6" spans="1:18" x14ac:dyDescent="0.25">
      <c r="A6" s="685" t="s">
        <v>3</v>
      </c>
      <c r="B6" s="685"/>
      <c r="C6" s="685"/>
      <c r="D6" s="685"/>
      <c r="E6" s="685"/>
      <c r="F6" s="685"/>
      <c r="G6" s="685"/>
      <c r="H6" s="685"/>
      <c r="I6" s="685"/>
      <c r="J6" s="685"/>
      <c r="K6" s="685"/>
      <c r="L6" s="685"/>
      <c r="M6" s="685"/>
      <c r="N6" s="685"/>
      <c r="O6" s="685"/>
    </row>
    <row r="7" spans="1:18" ht="8.25" customHeight="1" x14ac:dyDescent="0.25">
      <c r="A7" s="2"/>
      <c r="B7" s="2"/>
      <c r="C7" s="2"/>
      <c r="D7" s="2"/>
      <c r="E7" s="2"/>
      <c r="F7" s="2"/>
      <c r="G7" s="2"/>
      <c r="H7" s="2"/>
      <c r="I7" s="2"/>
      <c r="J7" s="2"/>
      <c r="K7" s="2"/>
      <c r="L7" s="2"/>
      <c r="M7" s="2"/>
      <c r="N7" s="2"/>
      <c r="O7" s="2"/>
    </row>
    <row r="8" spans="1:18" ht="18" customHeight="1" x14ac:dyDescent="0.25">
      <c r="A8" s="865" t="s">
        <v>4</v>
      </c>
      <c r="B8" s="865"/>
      <c r="C8" s="865"/>
      <c r="D8" s="865"/>
      <c r="E8" s="865"/>
      <c r="F8" s="865"/>
      <c r="G8" s="865"/>
      <c r="H8" s="865"/>
      <c r="I8" s="865"/>
      <c r="J8" s="865"/>
      <c r="K8" s="865"/>
      <c r="L8" s="865"/>
      <c r="M8" s="865"/>
      <c r="N8" s="865"/>
      <c r="O8" s="453"/>
    </row>
    <row r="9" spans="1:18" ht="18" customHeight="1" x14ac:dyDescent="0.25">
      <c r="A9" s="865"/>
      <c r="B9" s="865"/>
      <c r="C9" s="865"/>
      <c r="D9" s="865"/>
      <c r="E9" s="865"/>
      <c r="F9" s="865"/>
      <c r="G9" s="865"/>
      <c r="H9" s="865"/>
      <c r="I9" s="865"/>
      <c r="J9" s="865"/>
      <c r="K9" s="865"/>
      <c r="L9" s="865"/>
      <c r="M9" s="865"/>
      <c r="N9" s="865"/>
      <c r="O9" s="453"/>
    </row>
    <row r="10" spans="1:18" ht="18" customHeight="1" x14ac:dyDescent="0.25">
      <c r="A10" s="453"/>
      <c r="B10" s="453"/>
      <c r="C10" s="453"/>
      <c r="D10" s="453"/>
      <c r="E10" s="453"/>
      <c r="F10" s="453"/>
      <c r="G10" s="453"/>
      <c r="H10" s="453"/>
      <c r="I10" s="453"/>
      <c r="J10" s="453"/>
      <c r="K10" s="453"/>
      <c r="L10" s="453"/>
      <c r="M10" s="453"/>
      <c r="N10" s="453"/>
      <c r="O10" s="453"/>
      <c r="R10" s="454"/>
    </row>
    <row r="11" spans="1:18" ht="18" customHeight="1" x14ac:dyDescent="0.25">
      <c r="A11" s="866" t="s">
        <v>140</v>
      </c>
      <c r="B11" s="866"/>
      <c r="C11" s="866"/>
      <c r="D11" s="866"/>
      <c r="E11" s="866"/>
      <c r="F11" s="866"/>
      <c r="G11" s="866"/>
      <c r="H11" s="866"/>
      <c r="I11" s="866"/>
      <c r="J11" s="866"/>
      <c r="K11" s="866"/>
      <c r="L11" s="866"/>
      <c r="M11" s="866"/>
      <c r="N11" s="866"/>
      <c r="O11" s="455"/>
    </row>
    <row r="12" spans="1:18" x14ac:dyDescent="0.25">
      <c r="A12" s="456"/>
      <c r="B12" s="456"/>
      <c r="C12" s="456"/>
      <c r="D12" s="456"/>
      <c r="E12" s="456"/>
      <c r="F12" s="456"/>
      <c r="G12" s="456"/>
      <c r="H12" s="456"/>
      <c r="I12" s="456"/>
      <c r="J12" s="456"/>
      <c r="K12" s="456"/>
      <c r="L12" s="456"/>
      <c r="M12" s="456"/>
      <c r="N12" s="456"/>
      <c r="O12" s="456"/>
    </row>
    <row r="13" spans="1:18" ht="16.5" thickBot="1" x14ac:dyDescent="0.3">
      <c r="A13" s="457"/>
      <c r="B13" s="457"/>
      <c r="C13" s="457"/>
      <c r="D13" s="457"/>
      <c r="E13" s="457"/>
      <c r="F13" s="457"/>
      <c r="G13" s="457"/>
      <c r="H13" s="457"/>
      <c r="I13" s="457"/>
      <c r="J13" s="457"/>
      <c r="K13" s="457"/>
      <c r="L13" s="457"/>
      <c r="M13" s="457"/>
      <c r="N13" s="457"/>
      <c r="O13" s="456"/>
    </row>
    <row r="14" spans="1:18" ht="15.75" customHeight="1" thickBot="1" x14ac:dyDescent="0.3">
      <c r="A14" s="820" t="s">
        <v>5</v>
      </c>
      <c r="B14" s="821"/>
      <c r="C14" s="821"/>
      <c r="D14" s="821"/>
      <c r="E14" s="821"/>
      <c r="F14" s="821"/>
      <c r="G14" s="821"/>
      <c r="H14" s="821"/>
      <c r="I14" s="821"/>
      <c r="J14" s="821"/>
      <c r="K14" s="821"/>
      <c r="L14" s="821"/>
      <c r="M14" s="821"/>
      <c r="N14" s="821"/>
      <c r="O14" s="822"/>
    </row>
    <row r="15" spans="1:18" ht="27" customHeight="1" thickBot="1" x14ac:dyDescent="0.3">
      <c r="A15" s="831" t="s">
        <v>6</v>
      </c>
      <c r="B15" s="848" t="s">
        <v>7</v>
      </c>
      <c r="C15" s="849"/>
      <c r="D15" s="836" t="s">
        <v>8</v>
      </c>
      <c r="E15" s="836" t="s">
        <v>9</v>
      </c>
      <c r="F15" s="836" t="s">
        <v>10</v>
      </c>
      <c r="G15" s="836" t="s">
        <v>11</v>
      </c>
      <c r="H15" s="848" t="s">
        <v>12</v>
      </c>
      <c r="I15" s="849"/>
      <c r="J15" s="836" t="s">
        <v>60</v>
      </c>
      <c r="K15" s="458"/>
      <c r="L15" s="458"/>
      <c r="M15" s="836" t="s">
        <v>13</v>
      </c>
      <c r="N15" s="836" t="s">
        <v>14</v>
      </c>
      <c r="O15" s="841" t="s">
        <v>15</v>
      </c>
    </row>
    <row r="16" spans="1:18" ht="12" customHeight="1" thickBot="1" x14ac:dyDescent="0.3">
      <c r="A16" s="832"/>
      <c r="B16" s="850"/>
      <c r="C16" s="851"/>
      <c r="D16" s="839"/>
      <c r="E16" s="839"/>
      <c r="F16" s="839"/>
      <c r="G16" s="856"/>
      <c r="H16" s="461" t="s">
        <v>16</v>
      </c>
      <c r="I16" s="836" t="s">
        <v>17</v>
      </c>
      <c r="J16" s="837"/>
      <c r="K16" s="462"/>
      <c r="L16" s="462"/>
      <c r="M16" s="837"/>
      <c r="N16" s="839"/>
      <c r="O16" s="842"/>
    </row>
    <row r="17" spans="1:19" ht="26.25" customHeight="1" thickBot="1" x14ac:dyDescent="0.3">
      <c r="A17" s="832"/>
      <c r="B17" s="667" t="s">
        <v>18</v>
      </c>
      <c r="C17" s="463" t="s">
        <v>19</v>
      </c>
      <c r="D17" s="840"/>
      <c r="E17" s="840"/>
      <c r="F17" s="840"/>
      <c r="G17" s="857"/>
      <c r="H17" s="459" t="s">
        <v>20</v>
      </c>
      <c r="I17" s="840"/>
      <c r="J17" s="838"/>
      <c r="K17" s="464" t="s">
        <v>21</v>
      </c>
      <c r="L17" s="464" t="s">
        <v>22</v>
      </c>
      <c r="M17" s="838"/>
      <c r="N17" s="840"/>
      <c r="O17" s="843"/>
    </row>
    <row r="18" spans="1:19" ht="91.5" customHeight="1" x14ac:dyDescent="0.25">
      <c r="A18" s="465">
        <v>1</v>
      </c>
      <c r="B18" s="466" t="s">
        <v>261</v>
      </c>
      <c r="C18" s="467" t="s">
        <v>265</v>
      </c>
      <c r="D18" s="468" t="s">
        <v>23</v>
      </c>
      <c r="E18" s="448" t="s">
        <v>260</v>
      </c>
      <c r="F18" s="469" t="s">
        <v>198</v>
      </c>
      <c r="G18" s="470">
        <v>8</v>
      </c>
      <c r="H18" s="470">
        <v>5</v>
      </c>
      <c r="I18" s="470">
        <v>0</v>
      </c>
      <c r="J18" s="471"/>
      <c r="K18" s="472">
        <v>2600</v>
      </c>
      <c r="L18" s="472">
        <v>4250</v>
      </c>
      <c r="M18" s="472"/>
      <c r="N18" s="472">
        <v>11200</v>
      </c>
      <c r="O18" s="471">
        <f>M18+N18</f>
        <v>11200</v>
      </c>
      <c r="P18" s="473"/>
    </row>
    <row r="19" spans="1:19" ht="99.75" customHeight="1" x14ac:dyDescent="0.25">
      <c r="A19" s="474">
        <v>0</v>
      </c>
      <c r="B19" s="475" t="s">
        <v>262</v>
      </c>
      <c r="C19" s="447" t="s">
        <v>266</v>
      </c>
      <c r="D19" s="476" t="s">
        <v>23</v>
      </c>
      <c r="E19" s="449">
        <v>45553</v>
      </c>
      <c r="F19" s="477" t="s">
        <v>256</v>
      </c>
      <c r="G19" s="478">
        <v>8</v>
      </c>
      <c r="H19" s="478">
        <v>0</v>
      </c>
      <c r="I19" s="478">
        <v>0</v>
      </c>
      <c r="J19" s="479">
        <v>500000</v>
      </c>
      <c r="K19" s="480">
        <v>2600</v>
      </c>
      <c r="L19" s="480">
        <v>4250</v>
      </c>
      <c r="M19" s="480"/>
      <c r="N19" s="480">
        <v>10400</v>
      </c>
      <c r="O19" s="479">
        <f>SUM(M19:N19)</f>
        <v>10400</v>
      </c>
      <c r="P19" s="473"/>
      <c r="R19" s="473"/>
    </row>
    <row r="20" spans="1:19" ht="91.5" customHeight="1" x14ac:dyDescent="0.25">
      <c r="A20" s="465">
        <v>1</v>
      </c>
      <c r="B20" s="466"/>
      <c r="C20" s="481" t="s">
        <v>267</v>
      </c>
      <c r="D20" s="468" t="s">
        <v>23</v>
      </c>
      <c r="E20" s="448">
        <v>45554</v>
      </c>
      <c r="F20" s="477" t="s">
        <v>259</v>
      </c>
      <c r="G20" s="470">
        <v>8</v>
      </c>
      <c r="H20" s="470"/>
      <c r="I20" s="470"/>
      <c r="J20" s="471"/>
      <c r="K20" s="472"/>
      <c r="L20" s="472">
        <v>2887.5</v>
      </c>
      <c r="M20" s="472"/>
      <c r="N20" s="472"/>
      <c r="O20" s="471">
        <f>SUM(M20:N20)</f>
        <v>0</v>
      </c>
      <c r="P20" s="473"/>
    </row>
    <row r="21" spans="1:19" ht="96" customHeight="1" x14ac:dyDescent="0.25">
      <c r="A21" s="474">
        <v>1</v>
      </c>
      <c r="B21" s="475" t="s">
        <v>208</v>
      </c>
      <c r="C21" s="482" t="s">
        <v>268</v>
      </c>
      <c r="D21" s="476" t="s">
        <v>23</v>
      </c>
      <c r="E21" s="449" t="s">
        <v>258</v>
      </c>
      <c r="F21" s="477" t="s">
        <v>198</v>
      </c>
      <c r="G21" s="478">
        <v>8</v>
      </c>
      <c r="H21" s="478">
        <v>6</v>
      </c>
      <c r="I21" s="478">
        <v>2</v>
      </c>
      <c r="J21" s="483">
        <v>1070000</v>
      </c>
      <c r="K21" s="480">
        <v>2600</v>
      </c>
      <c r="L21" s="480">
        <v>6250</v>
      </c>
      <c r="M21" s="480"/>
      <c r="N21" s="480">
        <v>22400</v>
      </c>
      <c r="O21" s="479">
        <f>SUM(M21:N21)</f>
        <v>22400</v>
      </c>
      <c r="P21" s="473"/>
    </row>
    <row r="22" spans="1:19" ht="103.5" customHeight="1" thickBot="1" x14ac:dyDescent="0.3">
      <c r="A22" s="474">
        <v>0</v>
      </c>
      <c r="B22" s="475"/>
      <c r="C22" s="482" t="s">
        <v>269</v>
      </c>
      <c r="D22" s="476" t="s">
        <v>23</v>
      </c>
      <c r="E22" s="449" t="s">
        <v>257</v>
      </c>
      <c r="F22" s="477" t="s">
        <v>205</v>
      </c>
      <c r="G22" s="478">
        <v>8</v>
      </c>
      <c r="H22" s="478">
        <v>0</v>
      </c>
      <c r="I22" s="478">
        <v>0</v>
      </c>
      <c r="J22" s="479"/>
      <c r="K22" s="480">
        <v>2600</v>
      </c>
      <c r="L22" s="480">
        <v>6250</v>
      </c>
      <c r="M22" s="480"/>
      <c r="N22" s="480"/>
      <c r="O22" s="479">
        <f>SUM(M22:N22)</f>
        <v>0</v>
      </c>
      <c r="P22" s="473"/>
      <c r="Q22" s="473"/>
      <c r="S22" s="473"/>
    </row>
    <row r="23" spans="1:19" ht="15.75" customHeight="1" thickBot="1" x14ac:dyDescent="0.3">
      <c r="A23" s="484">
        <f>SUM(A18:A22)</f>
        <v>3</v>
      </c>
      <c r="B23" s="844" t="s">
        <v>24</v>
      </c>
      <c r="C23" s="844"/>
      <c r="D23" s="844"/>
      <c r="E23" s="844"/>
      <c r="F23" s="844"/>
      <c r="G23" s="485">
        <f t="shared" ref="G23:O23" si="0">SUM(G18:G22)</f>
        <v>40</v>
      </c>
      <c r="H23" s="485">
        <f t="shared" si="0"/>
        <v>11</v>
      </c>
      <c r="I23" s="485">
        <f t="shared" si="0"/>
        <v>2</v>
      </c>
      <c r="J23" s="485">
        <f t="shared" si="0"/>
        <v>1570000</v>
      </c>
      <c r="K23" s="485">
        <f t="shared" si="0"/>
        <v>10400</v>
      </c>
      <c r="L23" s="485">
        <f t="shared" si="0"/>
        <v>23887.5</v>
      </c>
      <c r="M23" s="485">
        <f t="shared" si="0"/>
        <v>0</v>
      </c>
      <c r="N23" s="485">
        <f t="shared" si="0"/>
        <v>44000</v>
      </c>
      <c r="O23" s="485">
        <f t="shared" si="0"/>
        <v>44000</v>
      </c>
      <c r="P23" s="486"/>
      <c r="Q23" s="486"/>
    </row>
    <row r="24" spans="1:19" ht="15.75" customHeight="1" thickBot="1" x14ac:dyDescent="0.3">
      <c r="A24" s="858" t="s">
        <v>25</v>
      </c>
      <c r="B24" s="859"/>
      <c r="C24" s="859"/>
      <c r="D24" s="859"/>
      <c r="E24" s="859"/>
      <c r="F24" s="859"/>
      <c r="G24" s="860"/>
      <c r="H24" s="487"/>
      <c r="I24" s="487"/>
      <c r="J24" s="488"/>
      <c r="K24" s="488"/>
      <c r="L24" s="488"/>
      <c r="M24" s="489">
        <v>0</v>
      </c>
      <c r="N24" s="489">
        <f>N23*-0.1</f>
        <v>-4400</v>
      </c>
      <c r="O24" s="489">
        <f>N24</f>
        <v>-4400</v>
      </c>
    </row>
    <row r="25" spans="1:19" ht="15.75" customHeight="1" thickBot="1" x14ac:dyDescent="0.3">
      <c r="A25" s="845" t="s">
        <v>26</v>
      </c>
      <c r="B25" s="846"/>
      <c r="C25" s="846"/>
      <c r="D25" s="846"/>
      <c r="E25" s="846"/>
      <c r="F25" s="846"/>
      <c r="G25" s="847"/>
      <c r="H25" s="490"/>
      <c r="I25" s="490"/>
      <c r="J25" s="491"/>
      <c r="K25" s="491"/>
      <c r="L25" s="491"/>
      <c r="M25" s="489">
        <f>+M23+M24</f>
        <v>0</v>
      </c>
      <c r="N25" s="489">
        <f>+N23+N24</f>
        <v>39600</v>
      </c>
      <c r="O25" s="489">
        <f>+O23+O24</f>
        <v>39600</v>
      </c>
    </row>
    <row r="26" spans="1:19" ht="16.5" thickBot="1" x14ac:dyDescent="0.3">
      <c r="A26" s="492"/>
      <c r="B26" s="492"/>
      <c r="C26" s="492"/>
      <c r="D26" s="492"/>
      <c r="E26" s="492"/>
      <c r="F26" s="492"/>
      <c r="G26" s="492"/>
      <c r="H26" s="493"/>
      <c r="I26" s="493"/>
      <c r="J26" s="494"/>
      <c r="K26" s="494"/>
      <c r="L26" s="494"/>
      <c r="M26" s="494"/>
      <c r="N26" s="494"/>
      <c r="O26" s="495"/>
    </row>
    <row r="27" spans="1:19" ht="16.5" customHeight="1" thickBot="1" x14ac:dyDescent="0.3">
      <c r="A27" s="826" t="s">
        <v>27</v>
      </c>
      <c r="B27" s="827"/>
      <c r="C27" s="827"/>
      <c r="D27" s="827"/>
      <c r="E27" s="827"/>
      <c r="F27" s="827"/>
      <c r="G27" s="827"/>
      <c r="H27" s="827"/>
      <c r="I27" s="827"/>
      <c r="J27" s="827"/>
      <c r="K27" s="827"/>
      <c r="L27" s="827"/>
      <c r="M27" s="827"/>
      <c r="N27" s="496"/>
      <c r="O27" s="497"/>
    </row>
    <row r="28" spans="1:19" ht="23.25" customHeight="1" thickBot="1" x14ac:dyDescent="0.3">
      <c r="A28" s="831" t="s">
        <v>6</v>
      </c>
      <c r="B28" s="848" t="s">
        <v>7</v>
      </c>
      <c r="C28" s="849"/>
      <c r="D28" s="836" t="s">
        <v>8</v>
      </c>
      <c r="E28" s="836" t="s">
        <v>9</v>
      </c>
      <c r="F28" s="836" t="s">
        <v>10</v>
      </c>
      <c r="G28" s="836" t="s">
        <v>28</v>
      </c>
      <c r="H28" s="848" t="s">
        <v>12</v>
      </c>
      <c r="I28" s="849"/>
      <c r="J28" s="836" t="s">
        <v>60</v>
      </c>
      <c r="K28" s="458"/>
      <c r="L28" s="458"/>
      <c r="M28" s="836" t="s">
        <v>13</v>
      </c>
      <c r="N28" s="836" t="s">
        <v>14</v>
      </c>
      <c r="O28" s="841" t="s">
        <v>15</v>
      </c>
    </row>
    <row r="29" spans="1:19" ht="0.75" customHeight="1" thickBot="1" x14ac:dyDescent="0.3">
      <c r="A29" s="832"/>
      <c r="B29" s="850"/>
      <c r="C29" s="851"/>
      <c r="D29" s="839"/>
      <c r="E29" s="839"/>
      <c r="F29" s="839"/>
      <c r="G29" s="856"/>
      <c r="H29" s="836" t="s">
        <v>20</v>
      </c>
      <c r="I29" s="836" t="s">
        <v>17</v>
      </c>
      <c r="J29" s="837"/>
      <c r="K29" s="462"/>
      <c r="L29" s="462"/>
      <c r="M29" s="837"/>
      <c r="N29" s="839"/>
      <c r="O29" s="842"/>
    </row>
    <row r="30" spans="1:19" ht="28.5" customHeight="1" thickBot="1" x14ac:dyDescent="0.3">
      <c r="A30" s="832"/>
      <c r="B30" s="668" t="s">
        <v>18</v>
      </c>
      <c r="C30" s="463" t="s">
        <v>19</v>
      </c>
      <c r="D30" s="840"/>
      <c r="E30" s="840"/>
      <c r="F30" s="840"/>
      <c r="G30" s="857"/>
      <c r="H30" s="840"/>
      <c r="I30" s="840"/>
      <c r="J30" s="838"/>
      <c r="K30" s="464" t="s">
        <v>21</v>
      </c>
      <c r="L30" s="464" t="s">
        <v>22</v>
      </c>
      <c r="M30" s="838"/>
      <c r="N30" s="840"/>
      <c r="O30" s="843"/>
    </row>
    <row r="31" spans="1:19" ht="76.5" customHeight="1" x14ac:dyDescent="0.25">
      <c r="A31" s="498">
        <v>1</v>
      </c>
      <c r="B31" s="468" t="s">
        <v>241</v>
      </c>
      <c r="C31" s="499" t="s">
        <v>282</v>
      </c>
      <c r="D31" s="468" t="s">
        <v>29</v>
      </c>
      <c r="E31" s="500" t="s">
        <v>240</v>
      </c>
      <c r="F31" s="501" t="s">
        <v>132</v>
      </c>
      <c r="G31" s="470">
        <v>16</v>
      </c>
      <c r="H31" s="470">
        <v>0</v>
      </c>
      <c r="I31" s="470">
        <v>0</v>
      </c>
      <c r="J31" s="471">
        <v>650000</v>
      </c>
      <c r="K31" s="471">
        <v>3700</v>
      </c>
      <c r="L31" s="502">
        <v>15400</v>
      </c>
      <c r="M31" s="471"/>
      <c r="N31" s="471">
        <v>13017.55</v>
      </c>
      <c r="O31" s="503">
        <f>SUM(M31:N31)</f>
        <v>13017.55</v>
      </c>
      <c r="P31" s="473"/>
    </row>
    <row r="32" spans="1:19" ht="93.75" customHeight="1" x14ac:dyDescent="0.25">
      <c r="A32" s="504">
        <v>1</v>
      </c>
      <c r="B32" s="476" t="s">
        <v>241</v>
      </c>
      <c r="C32" s="505" t="s">
        <v>270</v>
      </c>
      <c r="D32" s="476" t="s">
        <v>29</v>
      </c>
      <c r="E32" s="506" t="s">
        <v>242</v>
      </c>
      <c r="F32" s="476" t="s">
        <v>237</v>
      </c>
      <c r="G32" s="507">
        <v>16</v>
      </c>
      <c r="H32" s="478"/>
      <c r="I32" s="478"/>
      <c r="J32" s="479"/>
      <c r="K32" s="479">
        <v>4300</v>
      </c>
      <c r="L32" s="479">
        <v>15400</v>
      </c>
      <c r="M32" s="479"/>
      <c r="N32" s="479">
        <v>10414.040000000001</v>
      </c>
      <c r="O32" s="508">
        <f>SUM(M32:N32)</f>
        <v>10414.040000000001</v>
      </c>
    </row>
    <row r="33" spans="1:19" ht="119.25" customHeight="1" x14ac:dyDescent="0.25">
      <c r="A33" s="504">
        <v>1</v>
      </c>
      <c r="B33" s="476" t="s">
        <v>30</v>
      </c>
      <c r="C33" s="505" t="s">
        <v>271</v>
      </c>
      <c r="D33" s="476" t="s">
        <v>29</v>
      </c>
      <c r="E33" s="509" t="s">
        <v>243</v>
      </c>
      <c r="F33" s="476" t="s">
        <v>102</v>
      </c>
      <c r="G33" s="478">
        <v>16</v>
      </c>
      <c r="H33" s="478">
        <v>27</v>
      </c>
      <c r="I33" s="478">
        <v>2</v>
      </c>
      <c r="J33" s="479"/>
      <c r="K33" s="479">
        <f>5200*0.6</f>
        <v>3120</v>
      </c>
      <c r="L33" s="479">
        <f>+(14250+11650)*0.6</f>
        <v>15540</v>
      </c>
      <c r="M33" s="479"/>
      <c r="N33" s="479">
        <v>11200</v>
      </c>
      <c r="O33" s="508">
        <f>SUM(M33:N33)</f>
        <v>11200</v>
      </c>
      <c r="P33" s="510"/>
      <c r="Q33" s="486"/>
    </row>
    <row r="34" spans="1:19" ht="78.75" hidden="1" x14ac:dyDescent="0.25">
      <c r="A34" s="511"/>
      <c r="B34" s="476" t="s">
        <v>30</v>
      </c>
      <c r="C34" s="665" t="s">
        <v>263</v>
      </c>
      <c r="D34" s="476" t="s">
        <v>29</v>
      </c>
      <c r="E34" s="476" t="s">
        <v>239</v>
      </c>
      <c r="F34" s="476" t="s">
        <v>166</v>
      </c>
      <c r="G34" s="478">
        <v>0</v>
      </c>
      <c r="H34" s="478">
        <v>0</v>
      </c>
      <c r="I34" s="478">
        <v>0</v>
      </c>
      <c r="J34" s="479"/>
      <c r="K34" s="479">
        <v>0</v>
      </c>
      <c r="L34" s="479">
        <v>0</v>
      </c>
      <c r="M34" s="479"/>
      <c r="N34" s="479">
        <v>0</v>
      </c>
      <c r="O34" s="508">
        <f t="shared" ref="O34:O35" si="1">SUM(M34:N34)</f>
        <v>0</v>
      </c>
      <c r="P34" s="473">
        <f>K34+L34+N34</f>
        <v>0</v>
      </c>
    </row>
    <row r="35" spans="1:19" ht="157.5" hidden="1" x14ac:dyDescent="0.25">
      <c r="A35" s="511"/>
      <c r="B35" s="476" t="s">
        <v>30</v>
      </c>
      <c r="C35" s="666" t="s">
        <v>264</v>
      </c>
      <c r="D35" s="476" t="s">
        <v>29</v>
      </c>
      <c r="E35" s="476" t="s">
        <v>238</v>
      </c>
      <c r="F35" s="476" t="s">
        <v>115</v>
      </c>
      <c r="G35" s="478">
        <v>0</v>
      </c>
      <c r="H35" s="478"/>
      <c r="I35" s="478"/>
      <c r="J35" s="479"/>
      <c r="K35" s="479">
        <v>0</v>
      </c>
      <c r="L35" s="479">
        <v>0</v>
      </c>
      <c r="M35" s="479"/>
      <c r="N35" s="479">
        <v>0</v>
      </c>
      <c r="O35" s="508">
        <f t="shared" si="1"/>
        <v>0</v>
      </c>
    </row>
    <row r="36" spans="1:19" ht="130.5" customHeight="1" x14ac:dyDescent="0.25">
      <c r="A36" s="504">
        <v>0</v>
      </c>
      <c r="B36" s="476"/>
      <c r="C36" s="505" t="s">
        <v>272</v>
      </c>
      <c r="D36" s="476" t="s">
        <v>29</v>
      </c>
      <c r="E36" s="509">
        <v>45548</v>
      </c>
      <c r="F36" s="476" t="s">
        <v>166</v>
      </c>
      <c r="G36" s="478">
        <v>8</v>
      </c>
      <c r="H36" s="478"/>
      <c r="I36" s="478"/>
      <c r="J36" s="479"/>
      <c r="K36" s="479">
        <f>5200*0.4</f>
        <v>2080</v>
      </c>
      <c r="L36" s="479">
        <f>+(14250+11650)*0.4</f>
        <v>10360</v>
      </c>
      <c r="M36" s="479"/>
      <c r="N36" s="479">
        <v>11200</v>
      </c>
      <c r="O36" s="508">
        <f>SUM(M36:N36)</f>
        <v>11200</v>
      </c>
      <c r="P36" s="510"/>
      <c r="Q36" s="473"/>
      <c r="R36" s="473"/>
      <c r="S36" s="473"/>
    </row>
    <row r="37" spans="1:19" ht="78" hidden="1" customHeight="1" x14ac:dyDescent="0.25">
      <c r="A37" s="504"/>
      <c r="B37" s="476"/>
      <c r="C37" s="512" t="s">
        <v>127</v>
      </c>
      <c r="D37" s="476" t="s">
        <v>29</v>
      </c>
      <c r="E37" s="509">
        <v>45469</v>
      </c>
      <c r="F37" s="476" t="s">
        <v>96</v>
      </c>
      <c r="G37" s="478"/>
      <c r="H37" s="478"/>
      <c r="I37" s="478"/>
      <c r="J37" s="479"/>
      <c r="K37" s="480"/>
      <c r="L37" s="513"/>
      <c r="M37" s="479"/>
      <c r="N37" s="479"/>
      <c r="O37" s="508">
        <f>SUM(M37:N37)</f>
        <v>0</v>
      </c>
      <c r="P37" s="510"/>
      <c r="Q37" s="473"/>
      <c r="R37" s="473"/>
      <c r="S37" s="473"/>
    </row>
    <row r="38" spans="1:19" ht="63" hidden="1" x14ac:dyDescent="0.25">
      <c r="A38" s="511"/>
      <c r="B38" s="477"/>
      <c r="C38" s="450" t="s">
        <v>128</v>
      </c>
      <c r="D38" s="477" t="s">
        <v>29</v>
      </c>
      <c r="E38" s="449">
        <v>45470</v>
      </c>
      <c r="F38" s="477" t="s">
        <v>129</v>
      </c>
      <c r="G38" s="514"/>
      <c r="H38" s="515"/>
      <c r="I38" s="515"/>
      <c r="J38" s="480"/>
      <c r="K38" s="480"/>
      <c r="L38" s="513"/>
      <c r="M38" s="479"/>
      <c r="N38" s="479"/>
      <c r="O38" s="516">
        <f>SUM(M38:N38)</f>
        <v>0</v>
      </c>
      <c r="P38" s="473"/>
      <c r="Q38" s="473"/>
      <c r="R38" s="473"/>
      <c r="S38" s="473"/>
    </row>
    <row r="39" spans="1:19" ht="47.25" hidden="1" x14ac:dyDescent="0.25">
      <c r="A39" s="517"/>
      <c r="B39" s="477"/>
      <c r="C39" s="450" t="s">
        <v>135</v>
      </c>
      <c r="D39" s="477" t="s">
        <v>29</v>
      </c>
      <c r="E39" s="449">
        <v>45460</v>
      </c>
      <c r="F39" s="477" t="s">
        <v>134</v>
      </c>
      <c r="G39" s="514"/>
      <c r="H39" s="515"/>
      <c r="I39" s="515"/>
      <c r="J39" s="480"/>
      <c r="K39" s="480"/>
      <c r="L39" s="513"/>
      <c r="M39" s="479"/>
      <c r="N39" s="479"/>
      <c r="O39" s="516">
        <f>SUM(M39:N39)</f>
        <v>0</v>
      </c>
      <c r="P39" s="473"/>
      <c r="Q39" s="473"/>
      <c r="R39" s="473"/>
      <c r="S39" s="473"/>
    </row>
    <row r="40" spans="1:19" ht="15" customHeight="1" x14ac:dyDescent="0.25">
      <c r="A40" s="518">
        <f>SUM(A31:A38)</f>
        <v>3</v>
      </c>
      <c r="B40" s="861" t="s">
        <v>24</v>
      </c>
      <c r="C40" s="861"/>
      <c r="D40" s="861"/>
      <c r="E40" s="861"/>
      <c r="F40" s="861"/>
      <c r="G40" s="519">
        <f t="shared" ref="G40:L40" si="2">SUM(G31:G38)</f>
        <v>56</v>
      </c>
      <c r="H40" s="519">
        <f t="shared" si="2"/>
        <v>27</v>
      </c>
      <c r="I40" s="519">
        <f t="shared" si="2"/>
        <v>2</v>
      </c>
      <c r="J40" s="520">
        <f t="shared" si="2"/>
        <v>650000</v>
      </c>
      <c r="K40" s="520">
        <f t="shared" si="2"/>
        <v>13200</v>
      </c>
      <c r="L40" s="520">
        <f t="shared" si="2"/>
        <v>56700</v>
      </c>
      <c r="M40" s="520">
        <f>SUM(M31:M39)</f>
        <v>0</v>
      </c>
      <c r="N40" s="520">
        <f>SUM(N31:N39)</f>
        <v>45831.59</v>
      </c>
      <c r="O40" s="521">
        <f>SUM(O31:O39)</f>
        <v>45831.59</v>
      </c>
    </row>
    <row r="41" spans="1:19" ht="15" customHeight="1" x14ac:dyDescent="0.25">
      <c r="A41" s="852" t="s">
        <v>25</v>
      </c>
      <c r="B41" s="853"/>
      <c r="C41" s="853"/>
      <c r="D41" s="853"/>
      <c r="E41" s="853"/>
      <c r="F41" s="853"/>
      <c r="G41" s="854"/>
      <c r="H41" s="522"/>
      <c r="I41" s="522"/>
      <c r="J41" s="523"/>
      <c r="K41" s="524"/>
      <c r="L41" s="524"/>
      <c r="M41" s="524">
        <v>0</v>
      </c>
      <c r="N41" s="524">
        <f>0.1*-N40</f>
        <v>-4583.1589999999997</v>
      </c>
      <c r="O41" s="525">
        <f>SUM(N41:N41)</f>
        <v>-4583.1589999999997</v>
      </c>
    </row>
    <row r="42" spans="1:19" ht="15.75" customHeight="1" thickBot="1" x14ac:dyDescent="0.3">
      <c r="A42" s="828" t="s">
        <v>31</v>
      </c>
      <c r="B42" s="829"/>
      <c r="C42" s="829"/>
      <c r="D42" s="829"/>
      <c r="E42" s="829"/>
      <c r="F42" s="829"/>
      <c r="G42" s="830"/>
      <c r="H42" s="526"/>
      <c r="I42" s="526"/>
      <c r="J42" s="527"/>
      <c r="K42" s="528"/>
      <c r="L42" s="528"/>
      <c r="M42" s="528">
        <f>SUM(M40:M41)</f>
        <v>0</v>
      </c>
      <c r="N42" s="529">
        <f>+N40+N41</f>
        <v>41248.430999999997</v>
      </c>
      <c r="O42" s="529">
        <f>+O40+O41</f>
        <v>41248.430999999997</v>
      </c>
      <c r="P42" s="452" t="s">
        <v>133</v>
      </c>
      <c r="Q42" s="486"/>
    </row>
    <row r="43" spans="1:19" ht="16.5" thickBot="1" x14ac:dyDescent="0.3">
      <c r="A43" s="492"/>
      <c r="B43" s="492"/>
      <c r="C43" s="492"/>
      <c r="D43" s="492"/>
      <c r="E43" s="492"/>
      <c r="F43" s="492"/>
      <c r="G43" s="492"/>
      <c r="H43" s="493"/>
      <c r="I43" s="493"/>
      <c r="J43" s="494"/>
      <c r="K43" s="494"/>
      <c r="L43" s="494"/>
      <c r="M43" s="494"/>
      <c r="N43" s="494"/>
      <c r="O43" s="495"/>
    </row>
    <row r="44" spans="1:19" ht="15.75" customHeight="1" thickBot="1" x14ac:dyDescent="0.3">
      <c r="A44" s="826" t="s">
        <v>32</v>
      </c>
      <c r="B44" s="827"/>
      <c r="C44" s="827"/>
      <c r="D44" s="827"/>
      <c r="E44" s="827"/>
      <c r="F44" s="827"/>
      <c r="G44" s="827"/>
      <c r="H44" s="827"/>
      <c r="I44" s="827"/>
      <c r="J44" s="827"/>
      <c r="K44" s="827"/>
      <c r="L44" s="827"/>
      <c r="M44" s="827"/>
      <c r="N44" s="530"/>
      <c r="O44" s="531"/>
    </row>
    <row r="45" spans="1:19" ht="23.25" customHeight="1" thickBot="1" x14ac:dyDescent="0.3">
      <c r="A45" s="831" t="s">
        <v>6</v>
      </c>
      <c r="B45" s="848" t="s">
        <v>7</v>
      </c>
      <c r="C45" s="849"/>
      <c r="D45" s="836" t="s">
        <v>8</v>
      </c>
      <c r="E45" s="836" t="s">
        <v>9</v>
      </c>
      <c r="F45" s="836" t="s">
        <v>10</v>
      </c>
      <c r="G45" s="836" t="s">
        <v>28</v>
      </c>
      <c r="H45" s="848" t="s">
        <v>12</v>
      </c>
      <c r="I45" s="849"/>
      <c r="J45" s="836" t="s">
        <v>60</v>
      </c>
      <c r="K45" s="458"/>
      <c r="L45" s="458"/>
      <c r="M45" s="836" t="s">
        <v>13</v>
      </c>
      <c r="N45" s="836" t="s">
        <v>14</v>
      </c>
      <c r="O45" s="841" t="s">
        <v>15</v>
      </c>
    </row>
    <row r="46" spans="1:19" ht="2.25" customHeight="1" thickBot="1" x14ac:dyDescent="0.3">
      <c r="A46" s="832"/>
      <c r="B46" s="850"/>
      <c r="C46" s="851"/>
      <c r="D46" s="856"/>
      <c r="E46" s="856"/>
      <c r="F46" s="856"/>
      <c r="G46" s="856"/>
      <c r="H46" s="836" t="s">
        <v>20</v>
      </c>
      <c r="I46" s="836" t="s">
        <v>17</v>
      </c>
      <c r="J46" s="837"/>
      <c r="K46" s="462"/>
      <c r="L46" s="462"/>
      <c r="M46" s="837"/>
      <c r="N46" s="839"/>
      <c r="O46" s="842"/>
    </row>
    <row r="47" spans="1:19" ht="28.5" customHeight="1" thickBot="1" x14ac:dyDescent="0.3">
      <c r="A47" s="832"/>
      <c r="B47" s="667" t="s">
        <v>18</v>
      </c>
      <c r="C47" s="463" t="s">
        <v>19</v>
      </c>
      <c r="D47" s="857"/>
      <c r="E47" s="857"/>
      <c r="F47" s="857"/>
      <c r="G47" s="857"/>
      <c r="H47" s="840"/>
      <c r="I47" s="840"/>
      <c r="J47" s="838"/>
      <c r="K47" s="464" t="s">
        <v>21</v>
      </c>
      <c r="L47" s="460" t="s">
        <v>22</v>
      </c>
      <c r="M47" s="837"/>
      <c r="N47" s="839"/>
      <c r="O47" s="855"/>
    </row>
    <row r="48" spans="1:19" ht="68.25" customHeight="1" x14ac:dyDescent="0.25">
      <c r="A48" s="532">
        <v>1</v>
      </c>
      <c r="B48" s="468" t="s">
        <v>234</v>
      </c>
      <c r="C48" s="664" t="s">
        <v>273</v>
      </c>
      <c r="D48" s="468" t="s">
        <v>33</v>
      </c>
      <c r="E48" s="533" t="s">
        <v>274</v>
      </c>
      <c r="F48" s="534" t="s">
        <v>59</v>
      </c>
      <c r="G48" s="535">
        <v>8</v>
      </c>
      <c r="H48" s="535"/>
      <c r="I48" s="535"/>
      <c r="J48" s="536">
        <v>370000</v>
      </c>
      <c r="K48" s="537">
        <v>2900</v>
      </c>
      <c r="L48" s="538">
        <v>2750</v>
      </c>
      <c r="M48" s="479">
        <f>3545.31+9163.73+18527.75</f>
        <v>31236.79</v>
      </c>
      <c r="N48" s="539">
        <v>19225.919999999998</v>
      </c>
      <c r="O48" s="479">
        <f>SUM(M48:N48)</f>
        <v>50462.71</v>
      </c>
      <c r="P48" s="818"/>
      <c r="Q48" s="819"/>
      <c r="R48" s="819"/>
      <c r="S48" s="819"/>
    </row>
    <row r="49" spans="1:16" ht="111.75" customHeight="1" thickBot="1" x14ac:dyDescent="0.3">
      <c r="A49" s="542">
        <v>1</v>
      </c>
      <c r="B49" s="476" t="s">
        <v>234</v>
      </c>
      <c r="C49" s="447" t="s">
        <v>275</v>
      </c>
      <c r="D49" s="476" t="s">
        <v>33</v>
      </c>
      <c r="E49" s="543" t="s">
        <v>276</v>
      </c>
      <c r="F49" s="544" t="s">
        <v>59</v>
      </c>
      <c r="G49" s="478">
        <v>8</v>
      </c>
      <c r="H49" s="478">
        <v>0</v>
      </c>
      <c r="I49" s="478"/>
      <c r="J49" s="479"/>
      <c r="K49" s="538">
        <v>2900</v>
      </c>
      <c r="L49" s="538">
        <v>2750</v>
      </c>
      <c r="M49" s="538">
        <v>13148.86</v>
      </c>
      <c r="N49" s="539">
        <v>19225.919999999998</v>
      </c>
      <c r="O49" s="538">
        <f>SUM(M49:N49)</f>
        <v>32374.78</v>
      </c>
      <c r="P49" s="541"/>
    </row>
    <row r="50" spans="1:16" ht="7.5" hidden="1" customHeight="1" thickBot="1" x14ac:dyDescent="0.3">
      <c r="A50" s="545"/>
      <c r="B50" s="546"/>
      <c r="C50" s="547"/>
      <c r="D50" s="546"/>
      <c r="E50" s="548"/>
      <c r="F50" s="546"/>
      <c r="G50" s="535"/>
      <c r="H50" s="535">
        <v>0</v>
      </c>
      <c r="I50" s="549">
        <v>0</v>
      </c>
      <c r="J50" s="550"/>
      <c r="K50" s="551"/>
      <c r="L50" s="551"/>
      <c r="M50" s="551"/>
      <c r="N50" s="551"/>
      <c r="O50" s="552"/>
      <c r="P50" s="540"/>
    </row>
    <row r="51" spans="1:16" ht="16.5" thickBot="1" x14ac:dyDescent="0.3">
      <c r="A51" s="553">
        <f>SUM(A47:A50)</f>
        <v>2</v>
      </c>
      <c r="B51" s="869" t="s">
        <v>24</v>
      </c>
      <c r="C51" s="870"/>
      <c r="D51" s="870"/>
      <c r="E51" s="870"/>
      <c r="F51" s="871"/>
      <c r="G51" s="554">
        <f>SUM(G47:G50)</f>
        <v>16</v>
      </c>
      <c r="H51" s="555">
        <f t="shared" ref="H51:J51" si="3">SUM(H48:H50)</f>
        <v>0</v>
      </c>
      <c r="I51" s="556">
        <f t="shared" si="3"/>
        <v>0</v>
      </c>
      <c r="J51" s="556">
        <f t="shared" si="3"/>
        <v>370000</v>
      </c>
      <c r="K51" s="556">
        <f>SUM(K47:K50)</f>
        <v>5800</v>
      </c>
      <c r="L51" s="556">
        <f>SUM(L47:L50)</f>
        <v>5500</v>
      </c>
      <c r="M51" s="556">
        <f>SUM(M47:M50)</f>
        <v>44385.65</v>
      </c>
      <c r="N51" s="557">
        <f>SUM(N47:N50)</f>
        <v>38451.839999999997</v>
      </c>
      <c r="O51" s="558">
        <f>SUM(O47:O50)</f>
        <v>82837.489999999991</v>
      </c>
      <c r="P51" s="559"/>
    </row>
    <row r="52" spans="1:16" ht="16.5" thickBot="1" x14ac:dyDescent="0.3">
      <c r="A52" s="815" t="s">
        <v>25</v>
      </c>
      <c r="B52" s="816"/>
      <c r="C52" s="816"/>
      <c r="D52" s="816"/>
      <c r="E52" s="816"/>
      <c r="F52" s="816"/>
      <c r="G52" s="817"/>
      <c r="H52" s="560"/>
      <c r="I52" s="561"/>
      <c r="J52" s="562"/>
      <c r="K52" s="563"/>
      <c r="L52" s="563"/>
      <c r="M52" s="564">
        <v>0</v>
      </c>
      <c r="N52" s="565">
        <f>-0.1*N51</f>
        <v>-3845.1839999999997</v>
      </c>
      <c r="O52" s="566">
        <f>SUM(N52:N52)</f>
        <v>-3845.1839999999997</v>
      </c>
      <c r="P52" s="559"/>
    </row>
    <row r="53" spans="1:16" ht="16.5" thickBot="1" x14ac:dyDescent="0.3">
      <c r="A53" s="823" t="s">
        <v>31</v>
      </c>
      <c r="B53" s="824"/>
      <c r="C53" s="824"/>
      <c r="D53" s="824"/>
      <c r="E53" s="824"/>
      <c r="F53" s="824"/>
      <c r="G53" s="825"/>
      <c r="H53" s="567"/>
      <c r="I53" s="567"/>
      <c r="J53" s="568"/>
      <c r="K53" s="569"/>
      <c r="L53" s="569"/>
      <c r="M53" s="528">
        <f>SUM(M51:M52)</f>
        <v>44385.65</v>
      </c>
      <c r="N53" s="570">
        <f>+N51+N52</f>
        <v>34606.655999999995</v>
      </c>
      <c r="O53" s="529">
        <f>+O51+O52</f>
        <v>78992.305999999997</v>
      </c>
      <c r="P53" s="559"/>
    </row>
    <row r="54" spans="1:16" ht="34.5" customHeight="1" thickBot="1" x14ac:dyDescent="0.3">
      <c r="A54" s="571"/>
      <c r="B54" s="571"/>
      <c r="C54" s="571"/>
      <c r="D54" s="571"/>
      <c r="E54" s="571"/>
      <c r="F54" s="571"/>
      <c r="G54" s="571"/>
      <c r="H54" s="493"/>
      <c r="I54" s="493"/>
      <c r="J54" s="494"/>
      <c r="K54" s="572"/>
      <c r="L54" s="572"/>
      <c r="M54" s="573"/>
      <c r="N54" s="574"/>
      <c r="O54" s="574"/>
    </row>
    <row r="55" spans="1:16" ht="34.5" hidden="1" customHeight="1" x14ac:dyDescent="0.25">
      <c r="A55" s="571"/>
      <c r="B55" s="571"/>
      <c r="C55" s="571"/>
      <c r="D55" s="571"/>
      <c r="E55" s="571"/>
      <c r="F55" s="571"/>
      <c r="G55" s="571"/>
      <c r="H55" s="493"/>
      <c r="I55" s="493"/>
      <c r="J55" s="494"/>
      <c r="K55" s="572"/>
      <c r="L55" s="572"/>
      <c r="M55" s="573"/>
      <c r="N55" s="574"/>
      <c r="O55" s="574"/>
    </row>
    <row r="56" spans="1:16" ht="34.5" hidden="1" customHeight="1" x14ac:dyDescent="0.25">
      <c r="A56" s="571"/>
      <c r="B56" s="571"/>
      <c r="C56" s="571"/>
      <c r="D56" s="571"/>
      <c r="E56" s="571"/>
      <c r="F56" s="571"/>
      <c r="G56" s="571"/>
      <c r="H56" s="493"/>
      <c r="I56" s="493"/>
      <c r="J56" s="494"/>
      <c r="K56" s="494"/>
      <c r="L56" s="494"/>
      <c r="M56" s="575"/>
      <c r="N56" s="575"/>
      <c r="O56" s="575"/>
    </row>
    <row r="57" spans="1:16" ht="34.5" hidden="1" customHeight="1" x14ac:dyDescent="0.25">
      <c r="A57" s="571"/>
      <c r="B57" s="571"/>
      <c r="C57" s="571"/>
      <c r="D57" s="571"/>
      <c r="E57" s="571"/>
      <c r="F57" s="571"/>
      <c r="G57" s="571"/>
      <c r="H57" s="576"/>
      <c r="I57" s="576"/>
      <c r="J57" s="575"/>
      <c r="K57" s="575"/>
      <c r="L57" s="575"/>
      <c r="M57" s="575"/>
      <c r="N57" s="575"/>
      <c r="O57" s="577"/>
    </row>
    <row r="58" spans="1:16" ht="15.75" customHeight="1" thickBot="1" x14ac:dyDescent="0.3">
      <c r="A58" s="820" t="s">
        <v>34</v>
      </c>
      <c r="B58" s="821"/>
      <c r="C58" s="821"/>
      <c r="D58" s="821"/>
      <c r="E58" s="821"/>
      <c r="F58" s="821"/>
      <c r="G58" s="821"/>
      <c r="H58" s="821"/>
      <c r="I58" s="821"/>
      <c r="J58" s="821"/>
      <c r="K58" s="821"/>
      <c r="L58" s="821"/>
      <c r="M58" s="821"/>
      <c r="N58" s="821"/>
      <c r="O58" s="822"/>
    </row>
    <row r="59" spans="1:16" ht="24.75" customHeight="1" thickBot="1" x14ac:dyDescent="0.3">
      <c r="A59" s="831" t="s">
        <v>6</v>
      </c>
      <c r="B59" s="848" t="s">
        <v>7</v>
      </c>
      <c r="C59" s="849"/>
      <c r="D59" s="836" t="s">
        <v>8</v>
      </c>
      <c r="E59" s="836" t="s">
        <v>9</v>
      </c>
      <c r="F59" s="836" t="s">
        <v>10</v>
      </c>
      <c r="G59" s="836" t="s">
        <v>35</v>
      </c>
      <c r="H59" s="848" t="s">
        <v>12</v>
      </c>
      <c r="I59" s="849"/>
      <c r="J59" s="836" t="s">
        <v>60</v>
      </c>
      <c r="K59" s="458"/>
      <c r="L59" s="458"/>
      <c r="M59" s="836" t="s">
        <v>13</v>
      </c>
      <c r="N59" s="836" t="s">
        <v>14</v>
      </c>
      <c r="O59" s="841" t="s">
        <v>36</v>
      </c>
    </row>
    <row r="60" spans="1:16" ht="16.5" thickBot="1" x14ac:dyDescent="0.3">
      <c r="A60" s="832"/>
      <c r="B60" s="850"/>
      <c r="C60" s="851"/>
      <c r="D60" s="839"/>
      <c r="E60" s="839"/>
      <c r="F60" s="839"/>
      <c r="G60" s="856"/>
      <c r="H60" s="836" t="s">
        <v>20</v>
      </c>
      <c r="I60" s="836" t="s">
        <v>17</v>
      </c>
      <c r="J60" s="837"/>
      <c r="K60" s="462"/>
      <c r="L60" s="462"/>
      <c r="M60" s="837"/>
      <c r="N60" s="839"/>
      <c r="O60" s="842"/>
    </row>
    <row r="61" spans="1:16" ht="27.75" customHeight="1" thickBot="1" x14ac:dyDescent="0.3">
      <c r="A61" s="832"/>
      <c r="B61" s="667" t="s">
        <v>18</v>
      </c>
      <c r="C61" s="463" t="s">
        <v>19</v>
      </c>
      <c r="D61" s="840"/>
      <c r="E61" s="840"/>
      <c r="F61" s="840"/>
      <c r="G61" s="857"/>
      <c r="H61" s="840"/>
      <c r="I61" s="840"/>
      <c r="J61" s="838"/>
      <c r="K61" s="464" t="s">
        <v>21</v>
      </c>
      <c r="L61" s="464" t="s">
        <v>22</v>
      </c>
      <c r="M61" s="838"/>
      <c r="N61" s="840"/>
      <c r="O61" s="843"/>
    </row>
    <row r="62" spans="1:16" ht="51" hidden="1" customHeight="1" thickBot="1" x14ac:dyDescent="0.3">
      <c r="A62" s="578"/>
      <c r="B62" s="469" t="s">
        <v>69</v>
      </c>
      <c r="C62" s="469" t="s">
        <v>277</v>
      </c>
      <c r="D62" s="469" t="s">
        <v>37</v>
      </c>
      <c r="E62" s="469"/>
      <c r="F62" s="469" t="s">
        <v>39</v>
      </c>
      <c r="G62" s="579">
        <v>0</v>
      </c>
      <c r="H62" s="579">
        <v>0</v>
      </c>
      <c r="I62" s="579">
        <v>0</v>
      </c>
      <c r="J62" s="472">
        <v>250000</v>
      </c>
      <c r="K62" s="472">
        <v>0</v>
      </c>
      <c r="L62" s="472">
        <v>0</v>
      </c>
      <c r="M62" s="472"/>
      <c r="N62" s="472">
        <v>0</v>
      </c>
      <c r="O62" s="580">
        <f t="shared" ref="O62:O67" si="4">SUM(M62:N62)</f>
        <v>0</v>
      </c>
      <c r="P62" s="473">
        <f>K62+L62+N62</f>
        <v>0</v>
      </c>
    </row>
    <row r="63" spans="1:16" ht="60.75" customHeight="1" thickBot="1" x14ac:dyDescent="0.3">
      <c r="A63" s="581">
        <v>1</v>
      </c>
      <c r="B63" s="476" t="s">
        <v>30</v>
      </c>
      <c r="C63" s="447" t="s">
        <v>235</v>
      </c>
      <c r="D63" s="476" t="s">
        <v>37</v>
      </c>
      <c r="E63" s="476" t="s">
        <v>236</v>
      </c>
      <c r="F63" s="476" t="s">
        <v>38</v>
      </c>
      <c r="G63" s="478">
        <v>16</v>
      </c>
      <c r="H63" s="478">
        <v>0</v>
      </c>
      <c r="I63" s="478">
        <v>0</v>
      </c>
      <c r="J63" s="479">
        <v>0</v>
      </c>
      <c r="K63" s="479">
        <v>3400</v>
      </c>
      <c r="L63" s="479">
        <v>18491.59</v>
      </c>
      <c r="M63" s="479"/>
      <c r="N63" s="479">
        <v>23800</v>
      </c>
      <c r="O63" s="582">
        <f>SUM(M63:N63)</f>
        <v>23800</v>
      </c>
      <c r="P63" s="473"/>
    </row>
    <row r="64" spans="1:16" ht="51" hidden="1" customHeight="1" thickBot="1" x14ac:dyDescent="0.3">
      <c r="A64" s="581"/>
      <c r="B64" s="477" t="s">
        <v>69</v>
      </c>
      <c r="C64" s="477" t="s">
        <v>104</v>
      </c>
      <c r="D64" s="477" t="s">
        <v>37</v>
      </c>
      <c r="E64" s="477" t="s">
        <v>124</v>
      </c>
      <c r="F64" s="477" t="s">
        <v>39</v>
      </c>
      <c r="G64" s="515"/>
      <c r="H64" s="515">
        <v>0</v>
      </c>
      <c r="I64" s="515">
        <v>0</v>
      </c>
      <c r="J64" s="479"/>
      <c r="K64" s="479"/>
      <c r="L64" s="479"/>
      <c r="M64" s="479"/>
      <c r="N64" s="479"/>
      <c r="O64" s="582">
        <f>SUM(M64:N64)</f>
        <v>0</v>
      </c>
      <c r="P64" s="473"/>
    </row>
    <row r="65" spans="1:21" ht="51" hidden="1" customHeight="1" thickBot="1" x14ac:dyDescent="0.3">
      <c r="A65" s="581"/>
      <c r="B65" s="477" t="s">
        <v>69</v>
      </c>
      <c r="C65" s="477" t="s">
        <v>278</v>
      </c>
      <c r="D65" s="477" t="s">
        <v>37</v>
      </c>
      <c r="E65" s="477"/>
      <c r="F65" s="477" t="s">
        <v>105</v>
      </c>
      <c r="G65" s="515">
        <v>0</v>
      </c>
      <c r="H65" s="515">
        <v>0</v>
      </c>
      <c r="I65" s="515">
        <v>0</v>
      </c>
      <c r="J65" s="479"/>
      <c r="K65" s="479">
        <v>0</v>
      </c>
      <c r="L65" s="479">
        <v>0</v>
      </c>
      <c r="M65" s="479"/>
      <c r="N65" s="479">
        <v>0</v>
      </c>
      <c r="O65" s="582">
        <f t="shared" si="4"/>
        <v>0</v>
      </c>
      <c r="P65" s="473">
        <f>K65+L65+N65</f>
        <v>0</v>
      </c>
      <c r="R65" s="473" t="e">
        <f>P65+#REF!</f>
        <v>#REF!</v>
      </c>
      <c r="S65" s="452">
        <v>6662.5</v>
      </c>
      <c r="T65" s="452">
        <f>13125/2</f>
        <v>6562.5</v>
      </c>
      <c r="U65" s="452">
        <f>T65*2</f>
        <v>13125</v>
      </c>
    </row>
    <row r="66" spans="1:21" ht="57.75" hidden="1" customHeight="1" thickBot="1" x14ac:dyDescent="0.3">
      <c r="A66" s="581"/>
      <c r="B66" s="477" t="s">
        <v>78</v>
      </c>
      <c r="C66" s="477" t="s">
        <v>279</v>
      </c>
      <c r="D66" s="477" t="s">
        <v>37</v>
      </c>
      <c r="E66" s="449"/>
      <c r="F66" s="477" t="s">
        <v>95</v>
      </c>
      <c r="G66" s="515">
        <v>0</v>
      </c>
      <c r="H66" s="515"/>
      <c r="I66" s="515"/>
      <c r="J66" s="480">
        <v>370000</v>
      </c>
      <c r="K66" s="480">
        <v>0</v>
      </c>
      <c r="L66" s="480">
        <v>0</v>
      </c>
      <c r="M66" s="480"/>
      <c r="N66" s="480">
        <v>0</v>
      </c>
      <c r="O66" s="583">
        <f t="shared" si="4"/>
        <v>0</v>
      </c>
      <c r="P66" s="473">
        <f t="shared" ref="P66:P67" si="5">K66+L66+N66</f>
        <v>0</v>
      </c>
    </row>
    <row r="67" spans="1:21" ht="11.25" hidden="1" thickBot="1" x14ac:dyDescent="0.3">
      <c r="A67" s="581"/>
      <c r="B67" s="584" t="s">
        <v>30</v>
      </c>
      <c r="C67" s="584" t="s">
        <v>280</v>
      </c>
      <c r="D67" s="584" t="s">
        <v>37</v>
      </c>
      <c r="E67" s="585"/>
      <c r="F67" s="584" t="s">
        <v>40</v>
      </c>
      <c r="G67" s="586">
        <v>0</v>
      </c>
      <c r="H67" s="586"/>
      <c r="I67" s="586"/>
      <c r="J67" s="587"/>
      <c r="K67" s="587">
        <v>0</v>
      </c>
      <c r="L67" s="587">
        <v>0</v>
      </c>
      <c r="M67" s="587"/>
      <c r="N67" s="587">
        <v>0</v>
      </c>
      <c r="O67" s="588">
        <f t="shared" si="4"/>
        <v>0</v>
      </c>
      <c r="P67" s="473">
        <f t="shared" si="5"/>
        <v>0</v>
      </c>
    </row>
    <row r="68" spans="1:21" ht="18.75" customHeight="1" thickBot="1" x14ac:dyDescent="0.3">
      <c r="A68" s="484">
        <f>SUM(A62:A67)</f>
        <v>1</v>
      </c>
      <c r="B68" s="844" t="s">
        <v>24</v>
      </c>
      <c r="C68" s="844"/>
      <c r="D68" s="844"/>
      <c r="E68" s="844"/>
      <c r="F68" s="844"/>
      <c r="G68" s="589">
        <f t="shared" ref="G68:O68" si="6">SUM(G62:G67)</f>
        <v>16</v>
      </c>
      <c r="H68" s="589">
        <f t="shared" si="6"/>
        <v>0</v>
      </c>
      <c r="I68" s="589">
        <f t="shared" si="6"/>
        <v>0</v>
      </c>
      <c r="J68" s="589">
        <f t="shared" si="6"/>
        <v>620000</v>
      </c>
      <c r="K68" s="589">
        <f t="shared" si="6"/>
        <v>3400</v>
      </c>
      <c r="L68" s="589">
        <f t="shared" si="6"/>
        <v>18491.59</v>
      </c>
      <c r="M68" s="589">
        <f t="shared" si="6"/>
        <v>0</v>
      </c>
      <c r="N68" s="589">
        <f t="shared" si="6"/>
        <v>23800</v>
      </c>
      <c r="O68" s="589">
        <f t="shared" si="6"/>
        <v>23800</v>
      </c>
      <c r="P68" s="473"/>
    </row>
    <row r="69" spans="1:21" ht="15" customHeight="1" thickBot="1" x14ac:dyDescent="0.3">
      <c r="A69" s="858" t="s">
        <v>25</v>
      </c>
      <c r="B69" s="859"/>
      <c r="C69" s="859"/>
      <c r="D69" s="859"/>
      <c r="E69" s="859"/>
      <c r="F69" s="859"/>
      <c r="G69" s="860"/>
      <c r="H69" s="590"/>
      <c r="I69" s="590"/>
      <c r="J69" s="591"/>
      <c r="K69" s="591"/>
      <c r="L69" s="591"/>
      <c r="M69" s="592">
        <v>0</v>
      </c>
      <c r="N69" s="592">
        <f>N68*-0.1</f>
        <v>-2380</v>
      </c>
      <c r="O69" s="592">
        <f>N69</f>
        <v>-2380</v>
      </c>
      <c r="P69" s="473"/>
    </row>
    <row r="70" spans="1:21" ht="17.25" customHeight="1" thickBot="1" x14ac:dyDescent="0.3">
      <c r="A70" s="845" t="s">
        <v>26</v>
      </c>
      <c r="B70" s="846"/>
      <c r="C70" s="846"/>
      <c r="D70" s="846"/>
      <c r="E70" s="846"/>
      <c r="F70" s="846"/>
      <c r="G70" s="847"/>
      <c r="H70" s="593"/>
      <c r="I70" s="593"/>
      <c r="J70" s="594"/>
      <c r="K70" s="594"/>
      <c r="L70" s="594"/>
      <c r="M70" s="592">
        <f>SUM(M68:M69)</f>
        <v>0</v>
      </c>
      <c r="N70" s="592">
        <f>N68 +(N69)</f>
        <v>21420</v>
      </c>
      <c r="O70" s="592">
        <f>O69+O68</f>
        <v>21420</v>
      </c>
    </row>
    <row r="71" spans="1:21" ht="17.25" customHeight="1" x14ac:dyDescent="0.25">
      <c r="A71" s="595"/>
      <c r="B71" s="595"/>
      <c r="C71" s="595"/>
      <c r="D71" s="595"/>
      <c r="E71" s="595"/>
      <c r="F71" s="595"/>
      <c r="G71" s="595"/>
      <c r="H71" s="596"/>
      <c r="I71" s="596"/>
      <c r="J71" s="597"/>
      <c r="K71" s="597"/>
      <c r="L71" s="597"/>
      <c r="M71" s="598"/>
      <c r="N71" s="598"/>
      <c r="O71" s="598"/>
      <c r="P71" s="599"/>
      <c r="Q71" s="599"/>
      <c r="R71" s="599"/>
      <c r="S71" s="599"/>
      <c r="T71" s="599"/>
      <c r="U71" s="599"/>
    </row>
    <row r="72" spans="1:21" ht="17.25" customHeight="1" thickBot="1" x14ac:dyDescent="0.3">
      <c r="A72" s="600"/>
      <c r="B72" s="600"/>
      <c r="C72" s="600"/>
      <c r="D72" s="600"/>
      <c r="E72" s="600"/>
      <c r="F72" s="600"/>
      <c r="G72" s="600"/>
      <c r="H72" s="596"/>
      <c r="I72" s="601"/>
      <c r="J72" s="601"/>
      <c r="K72" s="601"/>
      <c r="L72" s="601"/>
      <c r="M72" s="601"/>
      <c r="N72" s="601"/>
      <c r="O72" s="598"/>
      <c r="P72" s="602"/>
      <c r="Q72" s="602"/>
      <c r="R72" s="602"/>
      <c r="S72" s="602"/>
      <c r="T72" s="602"/>
      <c r="U72" s="602"/>
    </row>
    <row r="73" spans="1:21" ht="17.25" customHeight="1" thickBot="1" x14ac:dyDescent="0.3">
      <c r="A73" s="845" t="s">
        <v>83</v>
      </c>
      <c r="B73" s="846"/>
      <c r="C73" s="846"/>
      <c r="D73" s="846"/>
      <c r="E73" s="846"/>
      <c r="F73" s="846"/>
      <c r="G73" s="847"/>
      <c r="H73" s="596"/>
      <c r="I73" s="862" t="s">
        <v>81</v>
      </c>
      <c r="J73" s="872"/>
      <c r="K73" s="872"/>
      <c r="L73" s="872"/>
      <c r="M73" s="872"/>
      <c r="N73" s="863"/>
      <c r="O73" s="598"/>
      <c r="P73" s="812" t="s">
        <v>244</v>
      </c>
      <c r="Q73" s="813"/>
      <c r="R73" s="813"/>
      <c r="S73" s="813"/>
      <c r="T73" s="813"/>
      <c r="U73" s="814"/>
    </row>
    <row r="74" spans="1:21" ht="48" customHeight="1" thickBot="1" x14ac:dyDescent="0.3">
      <c r="A74" s="833" t="s">
        <v>41</v>
      </c>
      <c r="B74" s="834"/>
      <c r="C74" s="835"/>
      <c r="D74" s="831" t="s">
        <v>143</v>
      </c>
      <c r="E74" s="831"/>
      <c r="F74" s="831" t="s">
        <v>281</v>
      </c>
      <c r="G74" s="831"/>
      <c r="H74" s="596"/>
      <c r="I74" s="603" t="s">
        <v>42</v>
      </c>
      <c r="J74" s="68" t="s">
        <v>43</v>
      </c>
      <c r="K74" s="69" t="s">
        <v>44</v>
      </c>
      <c r="L74" s="69" t="s">
        <v>45</v>
      </c>
      <c r="M74" s="70" t="s">
        <v>46</v>
      </c>
      <c r="N74" s="604" t="s">
        <v>31</v>
      </c>
      <c r="O74" s="598"/>
      <c r="P74" s="603" t="s">
        <v>42</v>
      </c>
      <c r="Q74" s="68" t="s">
        <v>43</v>
      </c>
      <c r="R74" s="69" t="s">
        <v>44</v>
      </c>
      <c r="S74" s="69" t="s">
        <v>45</v>
      </c>
      <c r="T74" s="70" t="s">
        <v>46</v>
      </c>
      <c r="U74" s="604" t="s">
        <v>31</v>
      </c>
    </row>
    <row r="75" spans="1:21" ht="27.75" customHeight="1" thickBot="1" x14ac:dyDescent="0.3">
      <c r="A75" s="820" t="s">
        <v>47</v>
      </c>
      <c r="B75" s="821"/>
      <c r="C75" s="822"/>
      <c r="D75" s="867">
        <v>628276</v>
      </c>
      <c r="E75" s="868"/>
      <c r="F75" s="867">
        <f>F83</f>
        <v>181260.73699999999</v>
      </c>
      <c r="G75" s="868"/>
      <c r="H75" s="596"/>
      <c r="I75" s="605" t="s">
        <v>22</v>
      </c>
      <c r="J75" s="606">
        <f>L23</f>
        <v>23887.5</v>
      </c>
      <c r="K75" s="606">
        <f>L51</f>
        <v>5500</v>
      </c>
      <c r="L75" s="606">
        <f>L40</f>
        <v>56700</v>
      </c>
      <c r="M75" s="607">
        <f>L68</f>
        <v>18491.59</v>
      </c>
      <c r="N75" s="608">
        <f>SUM(J75:M75)</f>
        <v>104579.09</v>
      </c>
      <c r="O75" s="609"/>
      <c r="P75" s="605" t="s">
        <v>22</v>
      </c>
      <c r="Q75" s="606">
        <v>50000</v>
      </c>
      <c r="R75" s="606">
        <v>11500</v>
      </c>
      <c r="S75" s="606">
        <v>69300</v>
      </c>
      <c r="T75" s="607">
        <v>32286.04</v>
      </c>
      <c r="U75" s="608">
        <v>163086.04</v>
      </c>
    </row>
    <row r="76" spans="1:21" ht="20.100000000000001" customHeight="1" thickBot="1" x14ac:dyDescent="0.3">
      <c r="A76" s="820" t="s">
        <v>48</v>
      </c>
      <c r="B76" s="821"/>
      <c r="C76" s="822"/>
      <c r="D76" s="867">
        <v>4</v>
      </c>
      <c r="E76" s="863"/>
      <c r="F76" s="845">
        <f>A33+A18+A21</f>
        <v>3</v>
      </c>
      <c r="G76" s="847"/>
      <c r="H76" s="610"/>
      <c r="I76" s="611" t="s">
        <v>49</v>
      </c>
      <c r="J76" s="612">
        <f>K23</f>
        <v>10400</v>
      </c>
      <c r="K76" s="606">
        <f>K51</f>
        <v>5800</v>
      </c>
      <c r="L76" s="612">
        <f>K40</f>
        <v>13200</v>
      </c>
      <c r="M76" s="613">
        <f>K68</f>
        <v>3400</v>
      </c>
      <c r="N76" s="614">
        <f t="shared" ref="N76:N78" si="7">SUM(J76:M76)</f>
        <v>32800</v>
      </c>
      <c r="O76" s="609"/>
      <c r="P76" s="611" t="s">
        <v>49</v>
      </c>
      <c r="Q76" s="612">
        <v>22000</v>
      </c>
      <c r="R76" s="606">
        <v>6800</v>
      </c>
      <c r="S76" s="612">
        <v>24800</v>
      </c>
      <c r="T76" s="613">
        <v>8500</v>
      </c>
      <c r="U76" s="614">
        <v>62100</v>
      </c>
    </row>
    <row r="77" spans="1:21" ht="31.5" customHeight="1" thickBot="1" x14ac:dyDescent="0.3">
      <c r="A77" s="820" t="s">
        <v>50</v>
      </c>
      <c r="B77" s="821"/>
      <c r="C77" s="822"/>
      <c r="D77" s="862">
        <v>13</v>
      </c>
      <c r="E77" s="863"/>
      <c r="F77" s="844">
        <f>(A68+A51+A40+A23)</f>
        <v>9</v>
      </c>
      <c r="G77" s="844"/>
      <c r="H77" s="610"/>
      <c r="I77" s="615" t="s">
        <v>51</v>
      </c>
      <c r="J77" s="616">
        <f>O25</f>
        <v>39600</v>
      </c>
      <c r="K77" s="616">
        <f>O53</f>
        <v>78992.305999999997</v>
      </c>
      <c r="L77" s="616">
        <f>O42</f>
        <v>41248.430999999997</v>
      </c>
      <c r="M77" s="617">
        <f>O70</f>
        <v>21420</v>
      </c>
      <c r="N77" s="618">
        <f>SUM(J77:M77)</f>
        <v>181260.73699999999</v>
      </c>
      <c r="O77" s="609"/>
      <c r="P77" s="615" t="s">
        <v>51</v>
      </c>
      <c r="Q77" s="619">
        <v>283926</v>
      </c>
      <c r="R77" s="619">
        <v>141650</v>
      </c>
      <c r="S77" s="619">
        <v>131040</v>
      </c>
      <c r="T77" s="620">
        <v>71660</v>
      </c>
      <c r="U77" s="618">
        <v>628276</v>
      </c>
    </row>
    <row r="78" spans="1:21" ht="20.100000000000001" customHeight="1" thickBot="1" x14ac:dyDescent="0.3">
      <c r="A78" s="820" t="s">
        <v>52</v>
      </c>
      <c r="B78" s="821"/>
      <c r="C78" s="822"/>
      <c r="D78" s="862">
        <v>85</v>
      </c>
      <c r="E78" s="863"/>
      <c r="F78" s="844">
        <f>(H23+I23)+(H40+I40)+(H51+I51)+(H68+I68)</f>
        <v>42</v>
      </c>
      <c r="G78" s="844"/>
      <c r="H78" s="576"/>
      <c r="I78" s="621" t="s">
        <v>31</v>
      </c>
      <c r="J78" s="622">
        <f>SUM(J75:J77)</f>
        <v>73887.5</v>
      </c>
      <c r="K78" s="622">
        <f>SUM(K75:K77)</f>
        <v>90292.305999999997</v>
      </c>
      <c r="L78" s="622">
        <f>SUM(L75:L77)</f>
        <v>111148.431</v>
      </c>
      <c r="M78" s="623">
        <f>SUM(M75:M77)</f>
        <v>43311.59</v>
      </c>
      <c r="N78" s="624">
        <f t="shared" si="7"/>
        <v>318639.82699999993</v>
      </c>
      <c r="O78" s="577"/>
      <c r="P78" s="621" t="s">
        <v>31</v>
      </c>
      <c r="Q78" s="622">
        <v>355926</v>
      </c>
      <c r="R78" s="622">
        <v>159950</v>
      </c>
      <c r="S78" s="622">
        <v>225140</v>
      </c>
      <c r="T78" s="623">
        <v>112446.04000000001</v>
      </c>
      <c r="U78" s="624">
        <v>853462.04</v>
      </c>
    </row>
    <row r="79" spans="1:21" ht="20.100000000000001" customHeight="1" thickBot="1" x14ac:dyDescent="0.3">
      <c r="A79" s="820" t="s">
        <v>53</v>
      </c>
      <c r="B79" s="821"/>
      <c r="C79" s="822"/>
      <c r="D79" s="891">
        <v>200</v>
      </c>
      <c r="E79" s="892"/>
      <c r="F79" s="893">
        <f>G23+G40+G51+G68</f>
        <v>128</v>
      </c>
      <c r="G79" s="844"/>
      <c r="H79" s="576"/>
      <c r="I79" s="881" t="s">
        <v>82</v>
      </c>
      <c r="J79" s="882"/>
      <c r="K79" s="882"/>
      <c r="L79" s="882"/>
      <c r="M79" s="882"/>
      <c r="N79" s="883"/>
      <c r="O79" s="577"/>
      <c r="P79" s="812" t="s">
        <v>245</v>
      </c>
      <c r="Q79" s="813"/>
      <c r="R79" s="813"/>
      <c r="S79" s="813"/>
      <c r="T79" s="813"/>
      <c r="U79" s="813"/>
    </row>
    <row r="80" spans="1:21" ht="31.5" customHeight="1" thickBot="1" x14ac:dyDescent="0.3">
      <c r="A80" s="888" t="s">
        <v>54</v>
      </c>
      <c r="B80" s="889"/>
      <c r="C80" s="890"/>
      <c r="D80" s="867">
        <v>452056</v>
      </c>
      <c r="E80" s="868"/>
      <c r="F80" s="884">
        <f>M68+M51+M40+M23</f>
        <v>44385.65</v>
      </c>
      <c r="G80" s="884"/>
      <c r="H80" s="610"/>
      <c r="I80" s="603" t="s">
        <v>42</v>
      </c>
      <c r="J80" s="68" t="s">
        <v>43</v>
      </c>
      <c r="K80" s="69" t="s">
        <v>44</v>
      </c>
      <c r="L80" s="230" t="s">
        <v>45</v>
      </c>
      <c r="M80" s="123" t="s">
        <v>46</v>
      </c>
      <c r="N80" s="604" t="s">
        <v>31</v>
      </c>
      <c r="O80" s="577"/>
      <c r="P80" s="603" t="s">
        <v>42</v>
      </c>
      <c r="Q80" s="68" t="s">
        <v>43</v>
      </c>
      <c r="R80" s="69" t="s">
        <v>44</v>
      </c>
      <c r="S80" s="69" t="s">
        <v>45</v>
      </c>
      <c r="T80" s="175" t="s">
        <v>46</v>
      </c>
      <c r="U80" s="604" t="s">
        <v>31</v>
      </c>
    </row>
    <row r="81" spans="1:22" ht="20.100000000000001" customHeight="1" thickBot="1" x14ac:dyDescent="0.3">
      <c r="A81" s="888" t="s">
        <v>55</v>
      </c>
      <c r="B81" s="889"/>
      <c r="C81" s="890"/>
      <c r="D81" s="867">
        <v>195800</v>
      </c>
      <c r="E81" s="868"/>
      <c r="F81" s="884">
        <f>N23+N40+N68+N51</f>
        <v>152083.43</v>
      </c>
      <c r="G81" s="884"/>
      <c r="H81" s="610"/>
      <c r="I81" s="605" t="s">
        <v>22</v>
      </c>
      <c r="J81" s="625">
        <f t="shared" ref="J81:K84" si="8">J75/Q75</f>
        <v>0.47775000000000001</v>
      </c>
      <c r="K81" s="625">
        <f t="shared" si="8"/>
        <v>0.47826086956521741</v>
      </c>
      <c r="L81" s="625">
        <f t="shared" ref="L81:N84" si="9">L75/S75</f>
        <v>0.81818181818181823</v>
      </c>
      <c r="M81" s="626">
        <f>M75/T75</f>
        <v>0.57274258472082673</v>
      </c>
      <c r="N81" s="627">
        <f t="shared" si="9"/>
        <v>0.64125102307959647</v>
      </c>
      <c r="O81" s="577"/>
      <c r="P81" s="628" t="s">
        <v>48</v>
      </c>
      <c r="Q81" s="629">
        <v>4</v>
      </c>
      <c r="R81" s="630">
        <v>0</v>
      </c>
      <c r="S81" s="630">
        <v>0</v>
      </c>
      <c r="T81" s="631">
        <v>0</v>
      </c>
      <c r="U81" s="632">
        <v>4</v>
      </c>
    </row>
    <row r="82" spans="1:22" ht="20.100000000000001" customHeight="1" thickBot="1" x14ac:dyDescent="0.3">
      <c r="A82" s="888" t="s">
        <v>56</v>
      </c>
      <c r="B82" s="889"/>
      <c r="C82" s="890"/>
      <c r="D82" s="867">
        <v>-19580</v>
      </c>
      <c r="E82" s="868"/>
      <c r="F82" s="884">
        <f>(N69+N52+N41+N24)</f>
        <v>-15208.342999999999</v>
      </c>
      <c r="G82" s="884"/>
      <c r="H82" s="610"/>
      <c r="I82" s="611" t="s">
        <v>49</v>
      </c>
      <c r="J82" s="625">
        <f t="shared" si="8"/>
        <v>0.47272727272727272</v>
      </c>
      <c r="K82" s="625">
        <f t="shared" si="8"/>
        <v>0.8529411764705882</v>
      </c>
      <c r="L82" s="625">
        <f t="shared" si="9"/>
        <v>0.532258064516129</v>
      </c>
      <c r="M82" s="626">
        <f t="shared" ref="M82:M83" si="10">M76/T76</f>
        <v>0.4</v>
      </c>
      <c r="N82" s="627">
        <f t="shared" si="9"/>
        <v>0.5281803542673108</v>
      </c>
      <c r="O82" s="577"/>
      <c r="P82" s="633" t="s">
        <v>86</v>
      </c>
      <c r="Q82" s="634">
        <v>4</v>
      </c>
      <c r="R82" s="630">
        <v>2</v>
      </c>
      <c r="S82" s="635">
        <v>5</v>
      </c>
      <c r="T82" s="636">
        <v>2</v>
      </c>
      <c r="U82" s="632">
        <v>13</v>
      </c>
    </row>
    <row r="83" spans="1:22" ht="20.100000000000001" customHeight="1" thickBot="1" x14ac:dyDescent="0.3">
      <c r="A83" s="874" t="s">
        <v>57</v>
      </c>
      <c r="B83" s="875"/>
      <c r="C83" s="876"/>
      <c r="D83" s="877">
        <f>SUM(D80+D81+D82)</f>
        <v>628276</v>
      </c>
      <c r="E83" s="878"/>
      <c r="F83" s="879">
        <f>F80+F81+F82</f>
        <v>181260.73699999999</v>
      </c>
      <c r="G83" s="879"/>
      <c r="H83" s="637"/>
      <c r="I83" s="615" t="s">
        <v>51</v>
      </c>
      <c r="J83" s="625">
        <f t="shared" si="8"/>
        <v>0.13947296126455486</v>
      </c>
      <c r="K83" s="625">
        <f t="shared" si="8"/>
        <v>0.55765835510060002</v>
      </c>
      <c r="L83" s="625">
        <f t="shared" si="9"/>
        <v>0.31477740384615382</v>
      </c>
      <c r="M83" s="626">
        <f t="shared" si="10"/>
        <v>0.29891152665364218</v>
      </c>
      <c r="N83" s="627">
        <f t="shared" si="9"/>
        <v>0.2885049516454552</v>
      </c>
      <c r="O83" s="577"/>
      <c r="P83" s="615" t="s">
        <v>87</v>
      </c>
      <c r="Q83" s="634">
        <v>40</v>
      </c>
      <c r="R83" s="630">
        <v>25</v>
      </c>
      <c r="S83" s="635">
        <v>0</v>
      </c>
      <c r="T83" s="636">
        <v>20</v>
      </c>
      <c r="U83" s="632">
        <v>85</v>
      </c>
    </row>
    <row r="84" spans="1:22" ht="20.100000000000001" customHeight="1" thickBot="1" x14ac:dyDescent="0.3">
      <c r="A84" s="638"/>
      <c r="B84" s="638"/>
      <c r="C84" s="638"/>
      <c r="D84" s="638"/>
      <c r="E84" s="638"/>
      <c r="F84" s="638"/>
      <c r="G84" s="637"/>
      <c r="H84" s="637"/>
      <c r="I84" s="621" t="s">
        <v>31</v>
      </c>
      <c r="J84" s="639">
        <f t="shared" si="8"/>
        <v>0.20759230851356741</v>
      </c>
      <c r="K84" s="639">
        <f t="shared" si="8"/>
        <v>0.56450331978743351</v>
      </c>
      <c r="L84" s="639">
        <f t="shared" si="9"/>
        <v>0.49368584436350715</v>
      </c>
      <c r="M84" s="640">
        <f t="shared" si="9"/>
        <v>0.38517665895570885</v>
      </c>
      <c r="N84" s="627">
        <f t="shared" si="9"/>
        <v>0.37334973562503132</v>
      </c>
      <c r="O84" s="638"/>
      <c r="P84" s="615" t="s">
        <v>88</v>
      </c>
      <c r="Q84" s="634">
        <v>40</v>
      </c>
      <c r="R84" s="630">
        <v>32</v>
      </c>
      <c r="S84" s="635">
        <v>80</v>
      </c>
      <c r="T84" s="636">
        <v>48</v>
      </c>
      <c r="U84" s="632">
        <v>200</v>
      </c>
    </row>
    <row r="85" spans="1:22" ht="16.5" thickBot="1" x14ac:dyDescent="0.3">
      <c r="A85" s="638"/>
      <c r="B85" s="880"/>
      <c r="C85" s="880"/>
      <c r="D85" s="880"/>
      <c r="E85" s="642"/>
      <c r="F85" s="643"/>
      <c r="G85" s="643"/>
      <c r="I85" s="638"/>
      <c r="J85" s="638"/>
      <c r="K85" s="638"/>
      <c r="L85" s="638"/>
      <c r="M85" s="638"/>
      <c r="N85" s="638"/>
      <c r="O85" s="638"/>
      <c r="P85" s="615" t="s">
        <v>89</v>
      </c>
      <c r="Q85" s="644">
        <v>234966</v>
      </c>
      <c r="R85" s="630">
        <v>107090</v>
      </c>
      <c r="S85" s="635">
        <v>90000</v>
      </c>
      <c r="T85" s="613">
        <v>20000</v>
      </c>
      <c r="U85" s="632">
        <v>452056</v>
      </c>
    </row>
    <row r="86" spans="1:22" ht="16.5" thickBot="1" x14ac:dyDescent="0.3">
      <c r="A86" s="638"/>
      <c r="E86" s="641"/>
      <c r="G86" s="645"/>
      <c r="I86" s="885" t="s">
        <v>92</v>
      </c>
      <c r="J86" s="886"/>
      <c r="K86" s="886"/>
      <c r="L86" s="886"/>
      <c r="M86" s="886"/>
      <c r="N86" s="887"/>
      <c r="O86" s="638"/>
      <c r="P86" s="615" t="s">
        <v>91</v>
      </c>
      <c r="Q86" s="646">
        <v>48960</v>
      </c>
      <c r="R86" s="616">
        <v>34560</v>
      </c>
      <c r="S86" s="616">
        <v>41040</v>
      </c>
      <c r="T86" s="617">
        <v>51660</v>
      </c>
      <c r="U86" s="632">
        <v>176220</v>
      </c>
      <c r="V86" s="473"/>
    </row>
    <row r="87" spans="1:22" ht="32.25" thickBot="1" x14ac:dyDescent="0.3">
      <c r="A87" s="638"/>
      <c r="B87" s="183" t="s">
        <v>106</v>
      </c>
      <c r="C87" s="183"/>
      <c r="D87" s="183"/>
      <c r="E87" s="43" t="s">
        <v>107</v>
      </c>
      <c r="F87" s="42"/>
      <c r="G87" s="647"/>
      <c r="I87" s="603" t="s">
        <v>42</v>
      </c>
      <c r="J87" s="68" t="s">
        <v>43</v>
      </c>
      <c r="K87" s="69" t="s">
        <v>44</v>
      </c>
      <c r="L87" s="69" t="s">
        <v>45</v>
      </c>
      <c r="M87" s="70" t="s">
        <v>46</v>
      </c>
      <c r="N87" s="604" t="s">
        <v>31</v>
      </c>
      <c r="O87" s="638"/>
      <c r="P87" s="621" t="s">
        <v>31</v>
      </c>
      <c r="Q87" s="648">
        <v>283926</v>
      </c>
      <c r="R87" s="622">
        <v>141650</v>
      </c>
      <c r="S87" s="622">
        <v>131040</v>
      </c>
      <c r="T87" s="622">
        <v>71660</v>
      </c>
      <c r="U87" s="622">
        <v>628276</v>
      </c>
    </row>
    <row r="88" spans="1:22" x14ac:dyDescent="0.25">
      <c r="A88" s="638"/>
      <c r="B88" s="44"/>
      <c r="C88" s="44"/>
      <c r="D88" s="44"/>
      <c r="E88" s="45"/>
      <c r="F88" s="43"/>
      <c r="G88" s="602"/>
      <c r="H88" s="602"/>
      <c r="I88" s="628" t="s">
        <v>48</v>
      </c>
      <c r="J88" s="679">
        <f>2/Q81</f>
        <v>0.5</v>
      </c>
      <c r="K88" s="649" t="e">
        <f>0/0</f>
        <v>#DIV/0!</v>
      </c>
      <c r="L88" s="629" t="e">
        <f>A33/S81</f>
        <v>#DIV/0!</v>
      </c>
      <c r="M88" s="626" t="e">
        <f>(0)/T81</f>
        <v>#DIV/0!</v>
      </c>
      <c r="N88" s="650">
        <f>F76/D76</f>
        <v>0.75</v>
      </c>
      <c r="O88" s="638"/>
    </row>
    <row r="89" spans="1:22" x14ac:dyDescent="0.25">
      <c r="A89" s="638"/>
      <c r="B89" s="44"/>
      <c r="C89" s="44"/>
      <c r="D89" s="44"/>
      <c r="E89" s="45"/>
      <c r="F89" s="44"/>
      <c r="I89" s="633" t="s">
        <v>86</v>
      </c>
      <c r="J89" s="651">
        <f>A23/Q82</f>
        <v>0.75</v>
      </c>
      <c r="K89" s="649">
        <f>A51/R82</f>
        <v>1</v>
      </c>
      <c r="L89" s="652">
        <f>A40/S82</f>
        <v>0.6</v>
      </c>
      <c r="M89" s="653">
        <f>A68/T82</f>
        <v>0.5</v>
      </c>
      <c r="N89" s="654">
        <f>F77/D77</f>
        <v>0.69230769230769229</v>
      </c>
      <c r="O89" s="638"/>
    </row>
    <row r="90" spans="1:22" ht="31.5" x14ac:dyDescent="0.25">
      <c r="A90" s="638"/>
      <c r="B90" s="44"/>
      <c r="C90" s="44"/>
      <c r="D90" s="44"/>
      <c r="E90" s="45"/>
      <c r="F90" s="44"/>
      <c r="G90" s="638"/>
      <c r="H90" s="638"/>
      <c r="I90" s="615" t="s">
        <v>87</v>
      </c>
      <c r="J90" s="651">
        <f>(H23+I23)/Q83</f>
        <v>0.32500000000000001</v>
      </c>
      <c r="K90" s="630">
        <f>0/R83</f>
        <v>0</v>
      </c>
      <c r="L90" s="651" t="e">
        <f>(H40+I40)/S83</f>
        <v>#DIV/0!</v>
      </c>
      <c r="M90" s="653">
        <f>(H68+I68)/T83</f>
        <v>0</v>
      </c>
      <c r="N90" s="655">
        <f t="shared" ref="N90:N93" si="11">F78/D78</f>
        <v>0.49411764705882355</v>
      </c>
      <c r="O90" s="638"/>
      <c r="R90" s="873"/>
      <c r="S90" s="873"/>
    </row>
    <row r="91" spans="1:22" x14ac:dyDescent="0.25">
      <c r="A91" s="638"/>
      <c r="B91" s="44"/>
      <c r="C91" s="44"/>
      <c r="D91" s="44"/>
      <c r="E91" s="45"/>
      <c r="F91" s="44"/>
      <c r="G91" s="638"/>
      <c r="H91" s="638"/>
      <c r="I91" s="615" t="s">
        <v>88</v>
      </c>
      <c r="J91" s="651">
        <f>G23/Q84</f>
        <v>1</v>
      </c>
      <c r="K91" s="649">
        <f>G51/R84</f>
        <v>0.5</v>
      </c>
      <c r="L91" s="651">
        <f>G40/S84</f>
        <v>0.7</v>
      </c>
      <c r="M91" s="653">
        <f>G68/T84</f>
        <v>0.33333333333333331</v>
      </c>
      <c r="N91" s="654">
        <f t="shared" si="11"/>
        <v>0.64</v>
      </c>
      <c r="O91" s="638"/>
    </row>
    <row r="92" spans="1:22" x14ac:dyDescent="0.25">
      <c r="A92" s="638"/>
      <c r="B92" s="184" t="s">
        <v>108</v>
      </c>
      <c r="C92" s="184"/>
      <c r="D92" s="184"/>
      <c r="E92" s="185" t="s">
        <v>109</v>
      </c>
      <c r="F92" s="44"/>
      <c r="G92" s="638"/>
      <c r="H92" s="638"/>
      <c r="I92" s="615" t="s">
        <v>89</v>
      </c>
      <c r="J92" s="651">
        <f>M23/Q85</f>
        <v>0</v>
      </c>
      <c r="K92" s="649">
        <f>M51/R85</f>
        <v>0.41447053879914092</v>
      </c>
      <c r="L92" s="651">
        <f>M40/S85</f>
        <v>0</v>
      </c>
      <c r="M92" s="653">
        <f>M68/T85</f>
        <v>0</v>
      </c>
      <c r="N92" s="656">
        <f t="shared" si="11"/>
        <v>9.818617604898508E-2</v>
      </c>
      <c r="O92" s="638"/>
    </row>
    <row r="93" spans="1:22" ht="31.5" x14ac:dyDescent="0.25">
      <c r="A93" s="638"/>
      <c r="B93" s="44" t="s">
        <v>110</v>
      </c>
      <c r="C93" s="44"/>
      <c r="D93" s="44"/>
      <c r="E93" s="43" t="s">
        <v>111</v>
      </c>
      <c r="F93" s="185"/>
      <c r="G93" s="638"/>
      <c r="H93" s="638"/>
      <c r="I93" s="615" t="s">
        <v>90</v>
      </c>
      <c r="J93" s="657">
        <f>N25/Q86</f>
        <v>0.80882352941176472</v>
      </c>
      <c r="K93" s="658">
        <f>N53/R86</f>
        <v>1.00135</v>
      </c>
      <c r="L93" s="657">
        <f>N42/S86</f>
        <v>1.0050787280701754</v>
      </c>
      <c r="M93" s="659">
        <f>N70/T86</f>
        <v>0.41463414634146339</v>
      </c>
      <c r="N93" s="660">
        <f t="shared" si="11"/>
        <v>0.77672844739530134</v>
      </c>
      <c r="O93" s="638"/>
    </row>
    <row r="94" spans="1:22" ht="16.5" thickBot="1" x14ac:dyDescent="0.3">
      <c r="A94" s="638"/>
      <c r="B94" s="638"/>
      <c r="C94" s="638"/>
      <c r="D94" s="638"/>
      <c r="E94" s="638"/>
      <c r="F94" s="638"/>
      <c r="G94" s="638"/>
      <c r="H94" s="638"/>
      <c r="I94" s="621" t="s">
        <v>31</v>
      </c>
      <c r="J94" s="661">
        <f>J78/Q87</f>
        <v>0.26023506124835344</v>
      </c>
      <c r="K94" s="661">
        <f>O53/R87</f>
        <v>0.55765835510060002</v>
      </c>
      <c r="L94" s="661">
        <f>O42/S87</f>
        <v>0.31477740384615382</v>
      </c>
      <c r="M94" s="662">
        <f>O70/T87</f>
        <v>0.29891152665364218</v>
      </c>
      <c r="N94" s="663">
        <f>F83/U87</f>
        <v>0.2885049516454552</v>
      </c>
      <c r="O94" s="638"/>
    </row>
    <row r="95" spans="1:22" x14ac:dyDescent="0.25">
      <c r="A95" s="638"/>
      <c r="B95" s="638"/>
      <c r="C95" s="638"/>
      <c r="D95" s="638"/>
      <c r="E95" s="638"/>
      <c r="F95" s="638"/>
      <c r="G95" s="638"/>
      <c r="H95" s="638"/>
      <c r="I95" s="638"/>
      <c r="J95" s="638"/>
      <c r="K95" s="638"/>
      <c r="L95" s="638"/>
      <c r="M95" s="638"/>
      <c r="N95" s="638"/>
      <c r="O95" s="638"/>
    </row>
    <row r="96" spans="1:22" x14ac:dyDescent="0.25">
      <c r="A96" s="638"/>
      <c r="B96" s="638"/>
      <c r="C96" s="638"/>
      <c r="D96" s="638"/>
      <c r="E96" s="638"/>
      <c r="F96" s="638"/>
      <c r="G96" s="638"/>
      <c r="H96" s="638"/>
      <c r="I96" s="456"/>
    </row>
    <row r="97" spans="1:15" x14ac:dyDescent="0.25">
      <c r="A97" s="638"/>
      <c r="B97" s="638"/>
      <c r="C97" s="638"/>
      <c r="D97" s="638"/>
      <c r="E97" s="638"/>
      <c r="F97" s="638"/>
      <c r="G97" s="638"/>
      <c r="H97" s="638"/>
      <c r="I97" s="456"/>
      <c r="J97" s="456"/>
      <c r="K97" s="456"/>
      <c r="L97" s="456"/>
      <c r="M97" s="456"/>
      <c r="N97" s="456"/>
    </row>
    <row r="98" spans="1:15" x14ac:dyDescent="0.25">
      <c r="A98" s="638"/>
      <c r="B98" s="638"/>
      <c r="C98" s="638"/>
      <c r="D98" s="638"/>
      <c r="E98" s="638"/>
      <c r="F98" s="638"/>
      <c r="G98" s="638"/>
      <c r="H98" s="638"/>
      <c r="I98" s="456"/>
      <c r="J98" s="456"/>
      <c r="K98" s="456"/>
      <c r="L98" s="456"/>
      <c r="M98" s="456"/>
      <c r="N98" s="456"/>
    </row>
    <row r="99" spans="1:15" x14ac:dyDescent="0.25">
      <c r="A99" s="638"/>
      <c r="B99" s="638"/>
      <c r="C99" s="638"/>
      <c r="D99" s="638"/>
      <c r="E99" s="638"/>
      <c r="F99" s="638"/>
      <c r="G99" s="638"/>
      <c r="H99" s="638"/>
      <c r="I99" s="456"/>
      <c r="J99" s="456"/>
      <c r="K99" s="456"/>
      <c r="L99" s="456"/>
      <c r="M99" s="456"/>
      <c r="N99" s="456"/>
    </row>
    <row r="100" spans="1:15" x14ac:dyDescent="0.25">
      <c r="A100" s="638"/>
      <c r="B100" s="638"/>
      <c r="C100" s="638"/>
      <c r="D100" s="638"/>
      <c r="E100" s="638"/>
      <c r="F100" s="638"/>
      <c r="G100" s="638"/>
      <c r="H100" s="638"/>
      <c r="I100" s="456"/>
      <c r="J100" s="456"/>
      <c r="K100" s="456"/>
      <c r="L100" s="456"/>
      <c r="M100" s="456"/>
      <c r="N100" s="456"/>
    </row>
    <row r="101" spans="1:15" x14ac:dyDescent="0.25">
      <c r="A101" s="638"/>
      <c r="B101" s="638"/>
      <c r="C101" s="638"/>
      <c r="D101" s="638"/>
      <c r="E101" s="638"/>
      <c r="F101" s="638"/>
      <c r="G101" s="638"/>
      <c r="H101" s="638"/>
      <c r="I101" s="456"/>
      <c r="J101" s="456"/>
      <c r="K101" s="456"/>
      <c r="L101" s="456"/>
      <c r="M101" s="456"/>
      <c r="N101" s="456"/>
    </row>
    <row r="102" spans="1:15" x14ac:dyDescent="0.25">
      <c r="A102" s="638"/>
      <c r="B102" s="638"/>
      <c r="C102" s="638"/>
      <c r="D102" s="638"/>
      <c r="E102" s="638"/>
      <c r="F102" s="638"/>
      <c r="G102" s="638"/>
      <c r="H102" s="638"/>
      <c r="I102" s="456"/>
      <c r="J102" s="456"/>
      <c r="K102" s="456"/>
      <c r="L102" s="456"/>
      <c r="M102" s="456"/>
      <c r="N102" s="456"/>
    </row>
    <row r="103" spans="1:15" x14ac:dyDescent="0.25">
      <c r="A103" s="638"/>
      <c r="B103" s="638"/>
      <c r="C103" s="638"/>
      <c r="D103" s="638"/>
      <c r="E103" s="638"/>
      <c r="F103" s="638"/>
      <c r="G103" s="638"/>
      <c r="H103" s="638"/>
      <c r="I103" s="456"/>
      <c r="J103" s="456"/>
      <c r="K103" s="456"/>
      <c r="L103" s="456"/>
      <c r="M103" s="456"/>
      <c r="N103" s="456"/>
    </row>
    <row r="104" spans="1:15" x14ac:dyDescent="0.25">
      <c r="A104" s="638"/>
      <c r="B104" s="638"/>
      <c r="C104" s="638"/>
      <c r="D104" s="638"/>
      <c r="E104" s="638"/>
      <c r="F104" s="638"/>
      <c r="G104" s="638"/>
      <c r="H104" s="638"/>
      <c r="I104" s="456"/>
      <c r="J104" s="456"/>
      <c r="K104" s="456"/>
      <c r="L104" s="456"/>
      <c r="M104" s="456"/>
      <c r="N104" s="456"/>
    </row>
    <row r="105" spans="1:15" x14ac:dyDescent="0.25">
      <c r="A105" s="456"/>
      <c r="B105" s="456"/>
      <c r="C105" s="456"/>
      <c r="D105" s="456"/>
      <c r="E105" s="456"/>
      <c r="F105" s="456"/>
      <c r="G105" s="456"/>
      <c r="H105" s="456"/>
      <c r="I105" s="456"/>
      <c r="J105" s="456"/>
      <c r="K105" s="456"/>
      <c r="L105" s="456"/>
      <c r="M105" s="456"/>
      <c r="N105" s="456"/>
    </row>
    <row r="106" spans="1:15" x14ac:dyDescent="0.25">
      <c r="A106" s="456"/>
      <c r="B106" s="456"/>
      <c r="C106" s="456"/>
      <c r="D106" s="456"/>
      <c r="E106" s="456"/>
      <c r="F106" s="456"/>
      <c r="G106" s="456"/>
      <c r="H106" s="456"/>
      <c r="I106" s="456"/>
      <c r="J106" s="456"/>
      <c r="K106" s="456"/>
      <c r="L106" s="456"/>
      <c r="M106" s="456"/>
      <c r="N106" s="456"/>
    </row>
    <row r="107" spans="1:15" x14ac:dyDescent="0.25">
      <c r="A107" s="456"/>
      <c r="B107" s="456"/>
      <c r="C107" s="456"/>
      <c r="D107" s="456"/>
      <c r="E107" s="456"/>
      <c r="F107" s="456"/>
      <c r="G107" s="456"/>
      <c r="H107" s="456"/>
      <c r="I107" s="456"/>
      <c r="J107" s="456"/>
      <c r="K107" s="456"/>
      <c r="L107" s="456"/>
      <c r="M107" s="456"/>
      <c r="N107" s="456"/>
    </row>
    <row r="108" spans="1:15" x14ac:dyDescent="0.25">
      <c r="A108" s="456"/>
      <c r="B108" s="456"/>
      <c r="C108" s="456"/>
      <c r="D108" s="456"/>
      <c r="E108" s="456"/>
      <c r="F108" s="456"/>
      <c r="G108" s="456"/>
      <c r="H108" s="456"/>
      <c r="I108" s="456"/>
      <c r="J108" s="456"/>
      <c r="K108" s="456"/>
      <c r="L108" s="456"/>
      <c r="M108" s="456"/>
      <c r="N108" s="456"/>
    </row>
    <row r="109" spans="1:15" x14ac:dyDescent="0.25">
      <c r="A109" s="456"/>
      <c r="B109" s="456"/>
      <c r="C109" s="456"/>
      <c r="D109" s="456"/>
      <c r="E109" s="456"/>
      <c r="F109" s="456"/>
      <c r="G109" s="456"/>
      <c r="H109" s="456"/>
      <c r="I109" s="456"/>
      <c r="J109" s="456"/>
      <c r="K109" s="456"/>
      <c r="L109" s="456"/>
      <c r="M109" s="456"/>
      <c r="N109" s="456"/>
    </row>
    <row r="110" spans="1:15" x14ac:dyDescent="0.25">
      <c r="A110" s="456"/>
      <c r="B110" s="456"/>
      <c r="C110" s="456"/>
      <c r="D110" s="456"/>
      <c r="E110" s="456"/>
      <c r="F110" s="456"/>
      <c r="G110" s="456"/>
      <c r="H110" s="456"/>
      <c r="I110" s="456"/>
      <c r="J110" s="456"/>
      <c r="K110" s="456"/>
      <c r="L110" s="456"/>
      <c r="M110" s="456"/>
      <c r="N110" s="456"/>
    </row>
    <row r="111" spans="1:15" x14ac:dyDescent="0.25">
      <c r="A111" s="456"/>
      <c r="B111" s="456"/>
      <c r="C111" s="456"/>
      <c r="D111" s="456"/>
      <c r="E111" s="456"/>
      <c r="F111" s="456"/>
      <c r="G111" s="456"/>
      <c r="H111" s="456"/>
      <c r="I111" s="456"/>
      <c r="J111" s="456"/>
      <c r="K111" s="456"/>
      <c r="L111" s="456"/>
      <c r="M111" s="456"/>
      <c r="N111" s="456"/>
    </row>
    <row r="112" spans="1:15" x14ac:dyDescent="0.25">
      <c r="A112" s="456"/>
      <c r="B112" s="456"/>
      <c r="C112" s="456"/>
      <c r="D112" s="456"/>
      <c r="E112" s="456"/>
      <c r="F112" s="456"/>
      <c r="G112" s="456"/>
      <c r="H112" s="456"/>
      <c r="I112" s="456"/>
      <c r="J112" s="456"/>
      <c r="K112" s="456"/>
      <c r="L112" s="456"/>
      <c r="M112" s="456"/>
      <c r="N112" s="456"/>
      <c r="O112" s="456"/>
    </row>
    <row r="113" spans="1:15" x14ac:dyDescent="0.25">
      <c r="A113" s="456"/>
      <c r="B113" s="456"/>
      <c r="C113" s="456"/>
      <c r="D113" s="456"/>
      <c r="E113" s="456"/>
      <c r="F113" s="456"/>
      <c r="G113" s="456"/>
      <c r="H113" s="456"/>
      <c r="I113" s="456"/>
      <c r="J113" s="456"/>
      <c r="K113" s="456"/>
      <c r="L113" s="456"/>
      <c r="M113" s="456"/>
      <c r="N113" s="456"/>
      <c r="O113" s="456"/>
    </row>
    <row r="114" spans="1:15" x14ac:dyDescent="0.25">
      <c r="A114" s="456"/>
      <c r="B114" s="456"/>
      <c r="C114" s="456"/>
      <c r="D114" s="456"/>
      <c r="E114" s="456"/>
      <c r="F114" s="456"/>
      <c r="G114" s="456"/>
      <c r="H114" s="456"/>
      <c r="I114" s="456"/>
      <c r="J114" s="456"/>
      <c r="K114" s="456"/>
      <c r="L114" s="456"/>
      <c r="M114" s="456"/>
      <c r="N114" s="456"/>
      <c r="O114" s="456"/>
    </row>
    <row r="115" spans="1:15" x14ac:dyDescent="0.25">
      <c r="A115" s="456"/>
      <c r="B115" s="456"/>
      <c r="C115" s="456"/>
      <c r="D115" s="456"/>
      <c r="E115" s="456"/>
      <c r="F115" s="456"/>
      <c r="G115" s="456"/>
      <c r="H115" s="456"/>
      <c r="I115" s="456"/>
      <c r="J115" s="456"/>
      <c r="K115" s="456"/>
      <c r="L115" s="456"/>
      <c r="M115" s="456"/>
      <c r="N115" s="456"/>
      <c r="O115" s="456"/>
    </row>
    <row r="116" spans="1:15" x14ac:dyDescent="0.25">
      <c r="A116" s="456"/>
      <c r="B116" s="456"/>
      <c r="C116" s="456"/>
      <c r="D116" s="456"/>
      <c r="E116" s="456"/>
      <c r="F116" s="456"/>
      <c r="G116" s="456"/>
      <c r="H116" s="456"/>
      <c r="I116" s="456"/>
      <c r="J116" s="456"/>
      <c r="K116" s="456"/>
      <c r="L116" s="456"/>
      <c r="M116" s="456"/>
      <c r="N116" s="456"/>
      <c r="O116" s="456"/>
    </row>
    <row r="117" spans="1:15" x14ac:dyDescent="0.25">
      <c r="A117" s="456"/>
      <c r="B117" s="456"/>
      <c r="C117" s="456"/>
      <c r="D117" s="456"/>
      <c r="E117" s="456"/>
      <c r="F117" s="456"/>
      <c r="G117" s="456"/>
      <c r="H117" s="456"/>
      <c r="I117" s="456"/>
      <c r="J117" s="456"/>
      <c r="K117" s="456"/>
      <c r="L117" s="456"/>
      <c r="M117" s="456"/>
      <c r="N117" s="456"/>
      <c r="O117" s="456"/>
    </row>
    <row r="118" spans="1:15" x14ac:dyDescent="0.25">
      <c r="A118" s="456"/>
      <c r="B118" s="456"/>
      <c r="C118" s="456"/>
      <c r="D118" s="456"/>
      <c r="E118" s="456"/>
      <c r="F118" s="456"/>
      <c r="G118" s="456"/>
      <c r="H118" s="456"/>
      <c r="I118" s="456"/>
      <c r="J118" s="456"/>
      <c r="K118" s="456"/>
      <c r="L118" s="456"/>
      <c r="M118" s="456"/>
      <c r="N118" s="456"/>
      <c r="O118" s="456"/>
    </row>
    <row r="119" spans="1:15" x14ac:dyDescent="0.25">
      <c r="A119" s="456"/>
      <c r="B119" s="456"/>
      <c r="C119" s="456"/>
      <c r="D119" s="456"/>
      <c r="E119" s="456"/>
      <c r="F119" s="456"/>
      <c r="G119" s="456"/>
      <c r="H119" s="456"/>
      <c r="I119" s="456"/>
      <c r="J119" s="456"/>
      <c r="K119" s="456"/>
      <c r="L119" s="456"/>
      <c r="M119" s="456"/>
      <c r="N119" s="456"/>
      <c r="O119" s="456"/>
    </row>
    <row r="120" spans="1:15" x14ac:dyDescent="0.25">
      <c r="A120" s="456"/>
      <c r="B120" s="456"/>
      <c r="C120" s="456"/>
      <c r="D120" s="456"/>
      <c r="E120" s="456"/>
      <c r="F120" s="456"/>
      <c r="G120" s="456"/>
      <c r="H120" s="456"/>
      <c r="I120" s="456"/>
      <c r="J120" s="456"/>
      <c r="K120" s="456"/>
      <c r="L120" s="456"/>
      <c r="M120" s="456"/>
      <c r="N120" s="456"/>
      <c r="O120" s="456"/>
    </row>
    <row r="121" spans="1:15" x14ac:dyDescent="0.25">
      <c r="A121" s="456"/>
      <c r="B121" s="456"/>
      <c r="C121" s="456"/>
      <c r="D121" s="456"/>
      <c r="E121" s="456"/>
      <c r="F121" s="456"/>
      <c r="G121" s="456"/>
      <c r="H121" s="456"/>
      <c r="I121" s="456"/>
      <c r="J121" s="456"/>
      <c r="K121" s="456"/>
      <c r="L121" s="456"/>
      <c r="M121" s="456"/>
      <c r="N121" s="456"/>
      <c r="O121" s="456"/>
    </row>
    <row r="122" spans="1:15" x14ac:dyDescent="0.25">
      <c r="A122" s="456"/>
      <c r="B122" s="456"/>
      <c r="C122" s="456"/>
      <c r="D122" s="456"/>
      <c r="E122" s="456"/>
      <c r="F122" s="456"/>
      <c r="G122" s="456"/>
      <c r="H122" s="456"/>
      <c r="I122" s="456"/>
      <c r="J122" s="456"/>
      <c r="K122" s="456"/>
      <c r="L122" s="456"/>
      <c r="M122" s="456"/>
      <c r="N122" s="456"/>
      <c r="O122" s="456"/>
    </row>
    <row r="123" spans="1:15" x14ac:dyDescent="0.25">
      <c r="A123" s="456"/>
      <c r="B123" s="456"/>
      <c r="C123" s="456"/>
      <c r="D123" s="456"/>
      <c r="E123" s="456"/>
      <c r="F123" s="456"/>
      <c r="G123" s="456"/>
      <c r="H123" s="456"/>
      <c r="I123" s="456"/>
      <c r="J123" s="456"/>
      <c r="K123" s="456"/>
      <c r="L123" s="456"/>
      <c r="M123" s="456"/>
      <c r="N123" s="456"/>
      <c r="O123" s="456"/>
    </row>
    <row r="124" spans="1:15" x14ac:dyDescent="0.25">
      <c r="A124" s="456"/>
      <c r="B124" s="456"/>
      <c r="C124" s="456"/>
      <c r="D124" s="456"/>
      <c r="E124" s="456"/>
      <c r="F124" s="456"/>
      <c r="G124" s="456"/>
      <c r="H124" s="456"/>
      <c r="I124" s="456"/>
      <c r="J124" s="456"/>
      <c r="K124" s="456"/>
      <c r="L124" s="456"/>
      <c r="M124" s="456"/>
      <c r="N124" s="456"/>
      <c r="O124" s="456"/>
    </row>
    <row r="125" spans="1:15" x14ac:dyDescent="0.25">
      <c r="A125" s="456"/>
      <c r="B125" s="456"/>
      <c r="C125" s="456"/>
      <c r="D125" s="456"/>
      <c r="E125" s="456"/>
      <c r="F125" s="456"/>
      <c r="G125" s="456"/>
      <c r="H125" s="456"/>
      <c r="I125" s="456"/>
      <c r="J125" s="456"/>
      <c r="K125" s="456"/>
      <c r="L125" s="456"/>
      <c r="M125" s="456"/>
      <c r="N125" s="456"/>
      <c r="O125" s="456"/>
    </row>
    <row r="126" spans="1:15" x14ac:dyDescent="0.25">
      <c r="A126" s="456"/>
      <c r="B126" s="456"/>
      <c r="C126" s="456"/>
      <c r="D126" s="456"/>
      <c r="E126" s="456"/>
      <c r="F126" s="456"/>
      <c r="G126" s="456"/>
      <c r="H126" s="456"/>
      <c r="I126" s="456"/>
      <c r="J126" s="456"/>
      <c r="K126" s="456"/>
      <c r="L126" s="456"/>
      <c r="M126" s="456"/>
      <c r="N126" s="456"/>
      <c r="O126" s="456"/>
    </row>
    <row r="127" spans="1:15" x14ac:dyDescent="0.25">
      <c r="A127" s="456"/>
      <c r="B127" s="456"/>
      <c r="C127" s="456"/>
      <c r="D127" s="456"/>
      <c r="E127" s="456"/>
      <c r="F127" s="456"/>
      <c r="G127" s="456"/>
      <c r="H127" s="456"/>
      <c r="I127" s="456"/>
      <c r="J127" s="456"/>
      <c r="K127" s="456"/>
      <c r="L127" s="456"/>
      <c r="M127" s="456"/>
      <c r="N127" s="456"/>
      <c r="O127" s="456"/>
    </row>
    <row r="128" spans="1:15" x14ac:dyDescent="0.25">
      <c r="A128" s="456"/>
      <c r="B128" s="456"/>
      <c r="C128" s="456"/>
      <c r="D128" s="456"/>
      <c r="E128" s="456"/>
      <c r="F128" s="456"/>
      <c r="G128" s="456"/>
      <c r="H128" s="456"/>
      <c r="I128" s="456"/>
      <c r="J128" s="456"/>
      <c r="K128" s="456"/>
      <c r="L128" s="456"/>
      <c r="M128" s="456"/>
      <c r="N128" s="456"/>
      <c r="O128" s="456"/>
    </row>
    <row r="129" spans="1:15" x14ac:dyDescent="0.25">
      <c r="A129" s="456"/>
      <c r="B129" s="456"/>
      <c r="C129" s="456"/>
      <c r="D129" s="456"/>
      <c r="E129" s="456"/>
      <c r="F129" s="456"/>
      <c r="G129" s="456"/>
      <c r="H129" s="456"/>
      <c r="I129" s="456"/>
      <c r="J129" s="456"/>
      <c r="K129" s="456"/>
      <c r="L129" s="456"/>
      <c r="M129" s="456"/>
      <c r="N129" s="456"/>
      <c r="O129" s="456"/>
    </row>
    <row r="130" spans="1:15" x14ac:dyDescent="0.25">
      <c r="A130" s="456"/>
      <c r="B130" s="456"/>
      <c r="C130" s="456"/>
      <c r="D130" s="456"/>
      <c r="E130" s="456"/>
      <c r="F130" s="456"/>
      <c r="G130" s="456"/>
      <c r="H130" s="456"/>
      <c r="I130" s="456"/>
      <c r="J130" s="456"/>
      <c r="K130" s="456"/>
      <c r="L130" s="456"/>
      <c r="M130" s="456"/>
      <c r="N130" s="456"/>
      <c r="O130" s="456"/>
    </row>
    <row r="131" spans="1:15" x14ac:dyDescent="0.25">
      <c r="A131" s="456"/>
      <c r="B131" s="456"/>
      <c r="C131" s="456"/>
      <c r="D131" s="456"/>
      <c r="E131" s="456"/>
      <c r="F131" s="456"/>
      <c r="G131" s="456"/>
      <c r="H131" s="456"/>
      <c r="I131" s="456"/>
      <c r="J131" s="456"/>
      <c r="K131" s="456"/>
      <c r="L131" s="456"/>
      <c r="M131" s="456"/>
      <c r="N131" s="456"/>
      <c r="O131" s="456"/>
    </row>
    <row r="132" spans="1:15" x14ac:dyDescent="0.25">
      <c r="A132" s="456"/>
      <c r="B132" s="456"/>
      <c r="C132" s="456"/>
      <c r="D132" s="456"/>
      <c r="E132" s="456"/>
      <c r="F132" s="456"/>
      <c r="G132" s="456"/>
      <c r="H132" s="456"/>
      <c r="I132" s="456"/>
      <c r="J132" s="456"/>
      <c r="K132" s="456"/>
      <c r="L132" s="456"/>
      <c r="M132" s="456"/>
      <c r="N132" s="456"/>
      <c r="O132" s="456"/>
    </row>
    <row r="133" spans="1:15" x14ac:dyDescent="0.25">
      <c r="A133" s="456"/>
      <c r="B133" s="456"/>
      <c r="C133" s="456"/>
      <c r="D133" s="456"/>
      <c r="E133" s="456"/>
      <c r="F133" s="456"/>
      <c r="G133" s="456"/>
      <c r="H133" s="456"/>
      <c r="I133" s="456"/>
      <c r="J133" s="456"/>
      <c r="K133" s="456"/>
      <c r="L133" s="456"/>
      <c r="M133" s="456"/>
      <c r="N133" s="456"/>
      <c r="O133" s="456"/>
    </row>
    <row r="134" spans="1:15" x14ac:dyDescent="0.25">
      <c r="A134" s="456"/>
      <c r="B134" s="456"/>
      <c r="C134" s="456"/>
      <c r="D134" s="456"/>
      <c r="E134" s="456"/>
      <c r="F134" s="456"/>
      <c r="G134" s="456"/>
      <c r="H134" s="456"/>
      <c r="I134" s="456"/>
      <c r="J134" s="456"/>
      <c r="K134" s="456"/>
      <c r="L134" s="456"/>
      <c r="M134" s="456"/>
      <c r="N134" s="456"/>
      <c r="O134" s="456"/>
    </row>
    <row r="135" spans="1:15" x14ac:dyDescent="0.25">
      <c r="A135" s="456"/>
      <c r="B135" s="456"/>
      <c r="C135" s="456"/>
      <c r="D135" s="456"/>
      <c r="E135" s="456"/>
      <c r="F135" s="456"/>
      <c r="G135" s="456"/>
      <c r="H135" s="456"/>
      <c r="O135" s="456"/>
    </row>
    <row r="136" spans="1:15" x14ac:dyDescent="0.25">
      <c r="A136" s="456"/>
      <c r="B136" s="456"/>
      <c r="C136" s="456"/>
      <c r="D136" s="456"/>
      <c r="E136" s="456"/>
      <c r="F136" s="456"/>
      <c r="G136" s="456"/>
      <c r="H136" s="456"/>
      <c r="O136" s="456"/>
    </row>
    <row r="137" spans="1:15" x14ac:dyDescent="0.25">
      <c r="A137" s="456"/>
      <c r="B137" s="456"/>
      <c r="C137" s="456"/>
      <c r="D137" s="456"/>
      <c r="E137" s="456"/>
      <c r="F137" s="456"/>
      <c r="G137" s="456"/>
      <c r="H137" s="456"/>
      <c r="O137" s="456"/>
    </row>
    <row r="138" spans="1:15" x14ac:dyDescent="0.25">
      <c r="A138" s="456"/>
      <c r="B138" s="456"/>
      <c r="C138" s="456"/>
      <c r="D138" s="456"/>
      <c r="E138" s="456"/>
      <c r="F138" s="456"/>
      <c r="G138" s="456"/>
      <c r="H138" s="456"/>
      <c r="O138" s="456"/>
    </row>
    <row r="139" spans="1:15" x14ac:dyDescent="0.25">
      <c r="A139" s="456"/>
      <c r="B139" s="456"/>
      <c r="C139" s="456"/>
      <c r="D139" s="456"/>
      <c r="E139" s="456"/>
      <c r="F139" s="456"/>
      <c r="G139" s="456"/>
      <c r="H139" s="456"/>
      <c r="O139" s="456"/>
    </row>
    <row r="140" spans="1:15" x14ac:dyDescent="0.25">
      <c r="A140" s="456"/>
      <c r="B140" s="456"/>
      <c r="C140" s="456"/>
      <c r="D140" s="456"/>
      <c r="E140" s="456"/>
      <c r="F140" s="456"/>
      <c r="G140" s="456"/>
      <c r="H140" s="456"/>
      <c r="O140" s="456"/>
    </row>
    <row r="141" spans="1:15" x14ac:dyDescent="0.25">
      <c r="A141" s="456"/>
      <c r="B141" s="456"/>
      <c r="C141" s="456"/>
      <c r="D141" s="456"/>
      <c r="E141" s="456"/>
      <c r="F141" s="456"/>
      <c r="G141" s="456"/>
      <c r="H141" s="456"/>
      <c r="O141" s="456"/>
    </row>
    <row r="142" spans="1:15" x14ac:dyDescent="0.25">
      <c r="A142" s="456"/>
      <c r="B142" s="456"/>
      <c r="C142" s="456"/>
      <c r="D142" s="456"/>
      <c r="E142" s="456"/>
      <c r="F142" s="456"/>
      <c r="G142" s="456"/>
      <c r="H142" s="456"/>
      <c r="O142" s="456"/>
    </row>
    <row r="143" spans="1:15" x14ac:dyDescent="0.25">
      <c r="A143" s="456"/>
      <c r="B143" s="456"/>
      <c r="C143" s="456"/>
      <c r="D143" s="456"/>
      <c r="E143" s="456"/>
      <c r="F143" s="456"/>
      <c r="G143" s="456"/>
      <c r="H143" s="456"/>
      <c r="O143" s="456"/>
    </row>
    <row r="144" spans="1:15" x14ac:dyDescent="0.25">
      <c r="A144" s="456"/>
      <c r="B144" s="456"/>
      <c r="C144" s="456"/>
      <c r="D144" s="456"/>
      <c r="E144" s="456"/>
      <c r="F144" s="456"/>
      <c r="G144" s="456"/>
      <c r="H144" s="456"/>
      <c r="O144" s="456"/>
    </row>
    <row r="145" spans="1:15" x14ac:dyDescent="0.25">
      <c r="A145" s="456"/>
      <c r="B145" s="456"/>
      <c r="C145" s="456"/>
      <c r="D145" s="456"/>
      <c r="E145" s="456"/>
      <c r="F145" s="456"/>
      <c r="G145" s="456"/>
      <c r="H145" s="456"/>
      <c r="O145" s="456"/>
    </row>
    <row r="146" spans="1:15" x14ac:dyDescent="0.25">
      <c r="A146" s="456"/>
      <c r="B146" s="456"/>
      <c r="C146" s="456"/>
      <c r="D146" s="456"/>
      <c r="E146" s="456"/>
      <c r="F146" s="456"/>
      <c r="G146" s="456"/>
      <c r="H146" s="456"/>
      <c r="O146" s="456"/>
    </row>
    <row r="147" spans="1:15" x14ac:dyDescent="0.25">
      <c r="A147" s="456"/>
      <c r="B147" s="456"/>
      <c r="C147" s="456"/>
      <c r="D147" s="456"/>
      <c r="E147" s="456"/>
      <c r="F147" s="456"/>
      <c r="G147" s="456"/>
      <c r="H147" s="456"/>
      <c r="O147" s="456"/>
    </row>
    <row r="148" spans="1:15" x14ac:dyDescent="0.25">
      <c r="A148" s="456"/>
      <c r="B148" s="456"/>
      <c r="C148" s="456"/>
      <c r="D148" s="456"/>
      <c r="E148" s="456"/>
      <c r="F148" s="456"/>
      <c r="G148" s="456"/>
      <c r="H148" s="456"/>
      <c r="O148" s="456"/>
    </row>
    <row r="149" spans="1:15" x14ac:dyDescent="0.25">
      <c r="A149" s="456"/>
      <c r="B149" s="456"/>
      <c r="C149" s="456"/>
      <c r="D149" s="456"/>
      <c r="E149" s="456"/>
      <c r="F149" s="456"/>
      <c r="G149" s="456"/>
      <c r="H149" s="456"/>
      <c r="O149" s="456"/>
    </row>
  </sheetData>
  <sheetProtection formatCells="0" formatColumns="0" formatRows="0" insertColumns="0" insertRows="0" insertHyperlinks="0" deleteColumns="0" deleteRows="0" sort="0" autoFilter="0" pivotTables="0"/>
  <mergeCells count="112">
    <mergeCell ref="B51:F51"/>
    <mergeCell ref="P73:U73"/>
    <mergeCell ref="I73:N73"/>
    <mergeCell ref="R90:S90"/>
    <mergeCell ref="A83:C83"/>
    <mergeCell ref="D83:E83"/>
    <mergeCell ref="F83:G83"/>
    <mergeCell ref="B85:D85"/>
    <mergeCell ref="I79:N79"/>
    <mergeCell ref="P79:U79"/>
    <mergeCell ref="D80:E80"/>
    <mergeCell ref="F80:G80"/>
    <mergeCell ref="I86:N86"/>
    <mergeCell ref="A82:C82"/>
    <mergeCell ref="D82:E82"/>
    <mergeCell ref="F82:G82"/>
    <mergeCell ref="A79:C79"/>
    <mergeCell ref="D79:E79"/>
    <mergeCell ref="F79:G79"/>
    <mergeCell ref="A80:C80"/>
    <mergeCell ref="A81:C81"/>
    <mergeCell ref="D81:E81"/>
    <mergeCell ref="F81:G81"/>
    <mergeCell ref="A75:C75"/>
    <mergeCell ref="D75:E75"/>
    <mergeCell ref="F75:G75"/>
    <mergeCell ref="A76:C76"/>
    <mergeCell ref="D76:E76"/>
    <mergeCell ref="F76:G76"/>
    <mergeCell ref="F59:F61"/>
    <mergeCell ref="G59:G61"/>
    <mergeCell ref="H59:I59"/>
    <mergeCell ref="J59:J61"/>
    <mergeCell ref="A69:G69"/>
    <mergeCell ref="A70:G70"/>
    <mergeCell ref="D77:E77"/>
    <mergeCell ref="F77:G77"/>
    <mergeCell ref="D78:E78"/>
    <mergeCell ref="F78:G78"/>
    <mergeCell ref="A1:O1"/>
    <mergeCell ref="A3:O3"/>
    <mergeCell ref="A4:O4"/>
    <mergeCell ref="A6:O6"/>
    <mergeCell ref="A8:N9"/>
    <mergeCell ref="A11:N11"/>
    <mergeCell ref="N15:N17"/>
    <mergeCell ref="O15:O17"/>
    <mergeCell ref="I16:I17"/>
    <mergeCell ref="A14:O14"/>
    <mergeCell ref="A15:A17"/>
    <mergeCell ref="B15:C16"/>
    <mergeCell ref="D15:D17"/>
    <mergeCell ref="E15:E17"/>
    <mergeCell ref="F15:F17"/>
    <mergeCell ref="G15:G17"/>
    <mergeCell ref="H15:I15"/>
    <mergeCell ref="J15:J17"/>
    <mergeCell ref="M15:M17"/>
    <mergeCell ref="A25:G25"/>
    <mergeCell ref="A24:G24"/>
    <mergeCell ref="B23:F23"/>
    <mergeCell ref="N28:N30"/>
    <mergeCell ref="O28:O30"/>
    <mergeCell ref="H29:H30"/>
    <mergeCell ref="I29:I30"/>
    <mergeCell ref="B40:F40"/>
    <mergeCell ref="A28:A30"/>
    <mergeCell ref="B28:C29"/>
    <mergeCell ref="D28:D30"/>
    <mergeCell ref="E28:E30"/>
    <mergeCell ref="F28:F30"/>
    <mergeCell ref="G28:G30"/>
    <mergeCell ref="H28:I28"/>
    <mergeCell ref="J28:J30"/>
    <mergeCell ref="M28:M30"/>
    <mergeCell ref="A41:G41"/>
    <mergeCell ref="A27:M27"/>
    <mergeCell ref="M45:M47"/>
    <mergeCell ref="N45:N47"/>
    <mergeCell ref="O45:O47"/>
    <mergeCell ref="H46:H47"/>
    <mergeCell ref="I46:I47"/>
    <mergeCell ref="A45:A47"/>
    <mergeCell ref="B45:C46"/>
    <mergeCell ref="D45:D47"/>
    <mergeCell ref="E45:E47"/>
    <mergeCell ref="F45:F47"/>
    <mergeCell ref="G45:G47"/>
    <mergeCell ref="H45:I45"/>
    <mergeCell ref="J45:J47"/>
    <mergeCell ref="A52:G52"/>
    <mergeCell ref="P48:S48"/>
    <mergeCell ref="A78:C78"/>
    <mergeCell ref="A77:C77"/>
    <mergeCell ref="A53:G53"/>
    <mergeCell ref="A44:M44"/>
    <mergeCell ref="A42:G42"/>
    <mergeCell ref="A58:O58"/>
    <mergeCell ref="A59:A61"/>
    <mergeCell ref="A74:C74"/>
    <mergeCell ref="D74:E74"/>
    <mergeCell ref="F74:G74"/>
    <mergeCell ref="M59:M61"/>
    <mergeCell ref="N59:N61"/>
    <mergeCell ref="O59:O61"/>
    <mergeCell ref="H60:H61"/>
    <mergeCell ref="I60:I61"/>
    <mergeCell ref="B68:F68"/>
    <mergeCell ref="A73:G73"/>
    <mergeCell ref="B59:C60"/>
    <mergeCell ref="D59:D61"/>
    <mergeCell ref="E59:E61"/>
  </mergeCells>
  <conditionalFormatting sqref="J75:M77">
    <cfRule type="dataBar" priority="21">
      <dataBar>
        <cfvo type="min"/>
        <cfvo type="max"/>
        <color rgb="FF63C384"/>
      </dataBar>
      <extLst>
        <ext xmlns:x14="http://schemas.microsoft.com/office/spreadsheetml/2009/9/main" uri="{B025F937-C7B1-47D3-B67F-A62EFF666E3E}">
          <x14:id>{2C17E987-5B98-4C1E-B266-78AAAEF2CBF9}</x14:id>
        </ext>
      </extLst>
    </cfRule>
  </conditionalFormatting>
  <conditionalFormatting sqref="J81:M83">
    <cfRule type="dataBar" priority="20">
      <dataBar>
        <cfvo type="min"/>
        <cfvo type="max"/>
        <color rgb="FF63C384"/>
      </dataBar>
      <extLst>
        <ext xmlns:x14="http://schemas.microsoft.com/office/spreadsheetml/2009/9/main" uri="{B025F937-C7B1-47D3-B67F-A62EFF666E3E}">
          <x14:id>{3D20B4C9-B7CF-4A20-A992-4F1970D0BE39}</x14:id>
        </ext>
      </extLst>
    </cfRule>
  </conditionalFormatting>
  <conditionalFormatting sqref="J88:M93">
    <cfRule type="dataBar" priority="18">
      <dataBar>
        <cfvo type="min"/>
        <cfvo type="max"/>
        <color rgb="FFFF555A"/>
      </dataBar>
      <extLst>
        <ext xmlns:x14="http://schemas.microsoft.com/office/spreadsheetml/2009/9/main" uri="{B025F937-C7B1-47D3-B67F-A62EFF666E3E}">
          <x14:id>{AD82BA26-6E4C-4DAA-A0DE-2137C11CBB30}</x14:id>
        </ext>
      </extLst>
    </cfRule>
  </conditionalFormatting>
  <conditionalFormatting sqref="J75:N77">
    <cfRule type="dataBar" priority="11">
      <dataBar>
        <cfvo type="min"/>
        <cfvo type="max"/>
        <color rgb="FF638EC6"/>
      </dataBar>
      <extLst>
        <ext xmlns:x14="http://schemas.microsoft.com/office/spreadsheetml/2009/9/main" uri="{B025F937-C7B1-47D3-B67F-A62EFF666E3E}">
          <x14:id>{DD1C6569-919D-494A-9036-B16FC207579D}</x14:id>
        </ext>
      </extLst>
    </cfRule>
    <cfRule type="colorScale" priority="14">
      <colorScale>
        <cfvo type="min"/>
        <cfvo type="max"/>
        <color rgb="FFFCFCFF"/>
        <color rgb="FF63BE7B"/>
      </colorScale>
    </cfRule>
    <cfRule type="top10" dxfId="1" priority="15" rank="5"/>
    <cfRule type="colorScale" priority="17">
      <colorScale>
        <cfvo type="min"/>
        <cfvo type="percentile" val="50"/>
        <cfvo type="max"/>
        <color rgb="FFF8696B"/>
        <color rgb="FFFFEB84"/>
        <color rgb="FF63BE7B"/>
      </colorScale>
    </cfRule>
  </conditionalFormatting>
  <conditionalFormatting sqref="J88:N93">
    <cfRule type="colorScale" priority="13">
      <colorScale>
        <cfvo type="min"/>
        <cfvo type="max"/>
        <color rgb="FFFCFCFF"/>
        <color rgb="FF63BE7B"/>
      </colorScale>
    </cfRule>
  </conditionalFormatting>
  <conditionalFormatting sqref="K76">
    <cfRule type="dataBar" priority="16">
      <dataBar>
        <cfvo type="min"/>
        <cfvo type="max"/>
        <color rgb="FFFFB628"/>
      </dataBar>
      <extLst>
        <ext xmlns:x14="http://schemas.microsoft.com/office/spreadsheetml/2009/9/main" uri="{B025F937-C7B1-47D3-B67F-A62EFF666E3E}">
          <x14:id>{E72DEAA4-C2E1-448E-9C2F-035C4F5B77A0}</x14:id>
        </ext>
      </extLst>
    </cfRule>
  </conditionalFormatting>
  <conditionalFormatting sqref="Q75:Q77">
    <cfRule type="dataBar" priority="9">
      <dataBar>
        <cfvo type="min"/>
        <cfvo type="max"/>
        <color rgb="FF63C384"/>
      </dataBar>
      <extLst>
        <ext xmlns:x14="http://schemas.microsoft.com/office/spreadsheetml/2009/9/main" uri="{B025F937-C7B1-47D3-B67F-A62EFF666E3E}">
          <x14:id>{ED5FC5EE-5443-4CE9-BC1A-C87E39FAE1DE}</x14:id>
        </ext>
      </extLst>
    </cfRule>
  </conditionalFormatting>
  <conditionalFormatting sqref="Q81:T86">
    <cfRule type="dataBar" priority="22">
      <dataBar>
        <cfvo type="min"/>
        <cfvo type="max"/>
        <color rgb="FF63C384"/>
      </dataBar>
      <extLst>
        <ext xmlns:x14="http://schemas.microsoft.com/office/spreadsheetml/2009/9/main" uri="{B025F937-C7B1-47D3-B67F-A62EFF666E3E}">
          <x14:id>{03285D57-C397-48D4-80ED-0E07766A051B}</x14:id>
        </ext>
      </extLst>
    </cfRule>
  </conditionalFormatting>
  <conditionalFormatting sqref="Q87:U87">
    <cfRule type="colorScale" priority="12">
      <colorScale>
        <cfvo type="min"/>
        <cfvo type="percentile" val="50"/>
        <cfvo type="max"/>
        <color rgb="FFF8696B"/>
        <color rgb="FFFFEB84"/>
        <color rgb="FF63BE7B"/>
      </colorScale>
    </cfRule>
  </conditionalFormatting>
  <conditionalFormatting sqref="R75:T77">
    <cfRule type="dataBar" priority="10">
      <dataBar>
        <cfvo type="min"/>
        <cfvo type="max"/>
        <color rgb="FF63C384"/>
      </dataBar>
      <extLst>
        <ext xmlns:x14="http://schemas.microsoft.com/office/spreadsheetml/2009/9/main" uri="{B025F937-C7B1-47D3-B67F-A62EFF666E3E}">
          <x14:id>{D0B5285D-B4BC-449E-BBFB-14CB1A06C0F3}</x14:id>
        </ext>
      </extLst>
    </cfRule>
  </conditionalFormatting>
  <pageMargins left="0.70866141732283472" right="0.70866141732283472" top="0.74803149606299213" bottom="0.74803149606299213" header="0.31496062992125984" footer="0.31496062992125984"/>
  <pageSetup scale="45" orientation="landscape" r:id="rId1"/>
  <rowBreaks count="3" manualBreakCount="3">
    <brk id="26" max="14" man="1"/>
    <brk id="43" max="16383" man="1"/>
    <brk id="71" max="16383" man="1"/>
  </rowBreaks>
  <colBreaks count="1" manualBreakCount="1">
    <brk id="15"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dataBar" id="{2C17E987-5B98-4C1E-B266-78AAAEF2CBF9}">
            <x14:dataBar minLength="0" maxLength="100" border="1" negativeBarBorderColorSameAsPositive="0">
              <x14:cfvo type="autoMin"/>
              <x14:cfvo type="autoMax"/>
              <x14:borderColor rgb="FF63C384"/>
              <x14:negativeFillColor rgb="FFFF0000"/>
              <x14:negativeBorderColor rgb="FFFF0000"/>
              <x14:axisColor rgb="FF000000"/>
            </x14:dataBar>
          </x14:cfRule>
          <xm:sqref>J75:M77</xm:sqref>
        </x14:conditionalFormatting>
        <x14:conditionalFormatting xmlns:xm="http://schemas.microsoft.com/office/excel/2006/main">
          <x14:cfRule type="dataBar" id="{3D20B4C9-B7CF-4A20-A992-4F1970D0BE39}">
            <x14:dataBar minLength="0" maxLength="100" border="1" negativeBarBorderColorSameAsPositive="0">
              <x14:cfvo type="autoMin"/>
              <x14:cfvo type="autoMax"/>
              <x14:borderColor rgb="FF63C384"/>
              <x14:negativeFillColor rgb="FFFF0000"/>
              <x14:negativeBorderColor rgb="FFFF0000"/>
              <x14:axisColor rgb="FF000000"/>
            </x14:dataBar>
          </x14:cfRule>
          <xm:sqref>J81:M83</xm:sqref>
        </x14:conditionalFormatting>
        <x14:conditionalFormatting xmlns:xm="http://schemas.microsoft.com/office/excel/2006/main">
          <x14:cfRule type="dataBar" id="{AD82BA26-6E4C-4DAA-A0DE-2137C11CBB30}">
            <x14:dataBar minLength="0" maxLength="100" border="1" negativeBarBorderColorSameAsPositive="0">
              <x14:cfvo type="autoMin"/>
              <x14:cfvo type="autoMax"/>
              <x14:borderColor rgb="FFFF555A"/>
              <x14:negativeFillColor rgb="FFFF0000"/>
              <x14:negativeBorderColor rgb="FFFF0000"/>
              <x14:axisColor rgb="FF000000"/>
            </x14:dataBar>
          </x14:cfRule>
          <xm:sqref>J88:M93</xm:sqref>
        </x14:conditionalFormatting>
        <x14:conditionalFormatting xmlns:xm="http://schemas.microsoft.com/office/excel/2006/main">
          <x14:cfRule type="dataBar" id="{DD1C6569-919D-494A-9036-B16FC207579D}">
            <x14:dataBar minLength="0" maxLength="100" border="1" negativeBarBorderColorSameAsPositive="0">
              <x14:cfvo type="autoMin"/>
              <x14:cfvo type="autoMax"/>
              <x14:borderColor rgb="FF638EC6"/>
              <x14:negativeFillColor rgb="FFFF0000"/>
              <x14:negativeBorderColor rgb="FFFF0000"/>
              <x14:axisColor rgb="FF000000"/>
            </x14:dataBar>
          </x14:cfRule>
          <xm:sqref>J75:N77</xm:sqref>
        </x14:conditionalFormatting>
        <x14:conditionalFormatting xmlns:xm="http://schemas.microsoft.com/office/excel/2006/main">
          <x14:cfRule type="dataBar" id="{E72DEAA4-C2E1-448E-9C2F-035C4F5B77A0}">
            <x14:dataBar minLength="0" maxLength="100" border="1" negativeBarBorderColorSameAsPositive="0">
              <x14:cfvo type="autoMin"/>
              <x14:cfvo type="autoMax"/>
              <x14:borderColor rgb="FFFFB628"/>
              <x14:negativeFillColor rgb="FFFF0000"/>
              <x14:negativeBorderColor rgb="FFFF0000"/>
              <x14:axisColor rgb="FF000000"/>
            </x14:dataBar>
          </x14:cfRule>
          <xm:sqref>K76</xm:sqref>
        </x14:conditionalFormatting>
        <x14:conditionalFormatting xmlns:xm="http://schemas.microsoft.com/office/excel/2006/main">
          <x14:cfRule type="dataBar" id="{ED5FC5EE-5443-4CE9-BC1A-C87E39FAE1DE}">
            <x14:dataBar minLength="0" maxLength="100" border="1" negativeBarBorderColorSameAsPositive="0">
              <x14:cfvo type="autoMin"/>
              <x14:cfvo type="autoMax"/>
              <x14:borderColor rgb="FF63C384"/>
              <x14:negativeFillColor rgb="FFFF0000"/>
              <x14:negativeBorderColor rgb="FFFF0000"/>
              <x14:axisColor rgb="FF000000"/>
            </x14:dataBar>
          </x14:cfRule>
          <xm:sqref>Q75:Q77</xm:sqref>
        </x14:conditionalFormatting>
        <x14:conditionalFormatting xmlns:xm="http://schemas.microsoft.com/office/excel/2006/main">
          <x14:cfRule type="dataBar" id="{03285D57-C397-48D4-80ED-0E07766A051B}">
            <x14:dataBar minLength="0" maxLength="100" border="1" negativeBarBorderColorSameAsPositive="0">
              <x14:cfvo type="autoMin"/>
              <x14:cfvo type="autoMax"/>
              <x14:borderColor rgb="FF63C384"/>
              <x14:negativeFillColor rgb="FFFF0000"/>
              <x14:negativeBorderColor rgb="FFFF0000"/>
              <x14:axisColor rgb="FF000000"/>
            </x14:dataBar>
          </x14:cfRule>
          <xm:sqref>Q81:T86</xm:sqref>
        </x14:conditionalFormatting>
        <x14:conditionalFormatting xmlns:xm="http://schemas.microsoft.com/office/excel/2006/main">
          <x14:cfRule type="dataBar" id="{D0B5285D-B4BC-449E-BBFB-14CB1A06C0F3}">
            <x14:dataBar minLength="0" maxLength="100" border="1" negativeBarBorderColorSameAsPositive="0">
              <x14:cfvo type="autoMin"/>
              <x14:cfvo type="autoMax"/>
              <x14:borderColor rgb="FF63C384"/>
              <x14:negativeFillColor rgb="FFFF0000"/>
              <x14:negativeBorderColor rgb="FFFF0000"/>
              <x14:axisColor rgb="FF000000"/>
            </x14:dataBar>
          </x14:cfRule>
          <xm:sqref>R75:T77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34E6F-25C5-466A-815C-35AEF62941D9}">
  <dimension ref="A1:W150"/>
  <sheetViews>
    <sheetView topLeftCell="A13" zoomScale="75" zoomScaleNormal="75" zoomScaleSheetLayoutView="80" workbookViewId="0">
      <selection activeCell="C21" sqref="C21"/>
    </sheetView>
  </sheetViews>
  <sheetFormatPr baseColWidth="10" defaultRowHeight="15" x14ac:dyDescent="0.25"/>
  <cols>
    <col min="1" max="1" width="4" customWidth="1"/>
    <col min="2" max="2" width="16" customWidth="1"/>
    <col min="3" max="3" width="38.42578125" customWidth="1"/>
    <col min="4" max="4" width="19.140625" customWidth="1"/>
    <col min="5" max="5" width="15.140625" customWidth="1"/>
    <col min="6" max="6" width="13.140625" customWidth="1"/>
    <col min="7" max="7" width="14.28515625" customWidth="1"/>
    <col min="8" max="8" width="13.5703125" customWidth="1"/>
    <col min="9" max="9" width="18.5703125" customWidth="1"/>
    <col min="10" max="10" width="17.140625" customWidth="1"/>
    <col min="11" max="11" width="17.5703125" customWidth="1"/>
    <col min="12" max="12" width="20" customWidth="1"/>
    <col min="13" max="13" width="20.5703125" customWidth="1"/>
    <col min="14" max="14" width="16.140625" customWidth="1"/>
    <col min="15" max="15" width="14.85546875" customWidth="1"/>
    <col min="16" max="16" width="18.42578125" customWidth="1"/>
    <col min="17" max="17" width="22" bestFit="1" customWidth="1"/>
    <col min="18" max="18" width="15" customWidth="1"/>
    <col min="19" max="19" width="17.85546875" bestFit="1" customWidth="1"/>
    <col min="20" max="20" width="13.28515625" customWidth="1"/>
    <col min="21" max="21" width="16.42578125" customWidth="1"/>
    <col min="23" max="23" width="13.7109375" customWidth="1"/>
  </cols>
  <sheetData>
    <row r="1" spans="1:15" ht="18" x14ac:dyDescent="0.25">
      <c r="A1" s="684" t="s">
        <v>0</v>
      </c>
      <c r="B1" s="684"/>
      <c r="C1" s="684"/>
      <c r="D1" s="684"/>
      <c r="E1" s="684"/>
      <c r="F1" s="684"/>
      <c r="G1" s="684"/>
      <c r="H1" s="684"/>
      <c r="I1" s="684"/>
      <c r="J1" s="684"/>
      <c r="K1" s="684"/>
      <c r="L1" s="684"/>
      <c r="M1" s="684"/>
      <c r="N1" s="684"/>
      <c r="O1" s="684"/>
    </row>
    <row r="2" spans="1:15" ht="6.75" customHeight="1" x14ac:dyDescent="0.25">
      <c r="A2" s="1"/>
      <c r="B2" s="1"/>
      <c r="C2" s="1"/>
      <c r="D2" s="1"/>
      <c r="E2" s="1"/>
      <c r="F2" s="1"/>
      <c r="G2" s="1"/>
      <c r="H2" s="1"/>
      <c r="I2" s="1"/>
      <c r="J2" s="1"/>
      <c r="K2" s="1"/>
      <c r="L2" s="1"/>
      <c r="M2" s="1"/>
      <c r="N2" s="1"/>
      <c r="O2" s="1"/>
    </row>
    <row r="3" spans="1:15" ht="15.75" x14ac:dyDescent="0.25">
      <c r="A3" s="685" t="s">
        <v>1</v>
      </c>
      <c r="B3" s="685"/>
      <c r="C3" s="685"/>
      <c r="D3" s="685"/>
      <c r="E3" s="685"/>
      <c r="F3" s="685"/>
      <c r="G3" s="685"/>
      <c r="H3" s="685"/>
      <c r="I3" s="685"/>
      <c r="J3" s="685"/>
      <c r="K3" s="685"/>
      <c r="L3" s="685"/>
      <c r="M3" s="685"/>
      <c r="N3" s="685"/>
      <c r="O3" s="685"/>
    </row>
    <row r="4" spans="1:15" ht="15.75" x14ac:dyDescent="0.25">
      <c r="A4" s="685" t="s">
        <v>2</v>
      </c>
      <c r="B4" s="685"/>
      <c r="C4" s="685"/>
      <c r="D4" s="685"/>
      <c r="E4" s="685"/>
      <c r="F4" s="685"/>
      <c r="G4" s="685"/>
      <c r="H4" s="685"/>
      <c r="I4" s="685"/>
      <c r="J4" s="685"/>
      <c r="K4" s="685"/>
      <c r="L4" s="685"/>
      <c r="M4" s="685"/>
      <c r="N4" s="685"/>
      <c r="O4" s="685"/>
    </row>
    <row r="5" spans="1:15" ht="6" customHeight="1" x14ac:dyDescent="0.25">
      <c r="A5" s="2"/>
      <c r="B5" s="2"/>
      <c r="C5" s="2"/>
      <c r="D5" s="2"/>
      <c r="E5" s="2"/>
      <c r="F5" s="2"/>
      <c r="G5" s="2"/>
      <c r="H5" s="2"/>
      <c r="I5" s="2"/>
      <c r="J5" s="2"/>
      <c r="K5" s="2"/>
      <c r="L5" s="2"/>
      <c r="M5" s="2"/>
      <c r="N5" s="2"/>
      <c r="O5" s="2"/>
    </row>
    <row r="6" spans="1:15" ht="18" x14ac:dyDescent="0.25">
      <c r="A6" s="686" t="s">
        <v>3</v>
      </c>
      <c r="B6" s="686"/>
      <c r="C6" s="686"/>
      <c r="D6" s="686"/>
      <c r="E6" s="686"/>
      <c r="F6" s="686"/>
      <c r="G6" s="686"/>
      <c r="H6" s="686"/>
      <c r="I6" s="686"/>
      <c r="J6" s="686"/>
      <c r="K6" s="686"/>
      <c r="L6" s="686"/>
      <c r="M6" s="686"/>
      <c r="N6" s="686"/>
      <c r="O6" s="686"/>
    </row>
    <row r="7" spans="1:15" ht="8.25" customHeight="1" x14ac:dyDescent="0.25">
      <c r="A7" s="3"/>
      <c r="B7" s="3"/>
      <c r="C7" s="3"/>
      <c r="D7" s="3"/>
      <c r="E7" s="3"/>
      <c r="F7" s="3"/>
      <c r="G7" s="3"/>
      <c r="H7" s="3"/>
      <c r="I7" s="3"/>
      <c r="J7" s="3"/>
      <c r="K7" s="3"/>
      <c r="L7" s="3"/>
      <c r="M7" s="3"/>
      <c r="N7" s="3"/>
      <c r="O7" s="3"/>
    </row>
    <row r="8" spans="1:15" ht="18" customHeight="1" x14ac:dyDescent="0.25">
      <c r="A8" s="687" t="s">
        <v>4</v>
      </c>
      <c r="B8" s="687"/>
      <c r="C8" s="687"/>
      <c r="D8" s="687"/>
      <c r="E8" s="687"/>
      <c r="F8" s="687"/>
      <c r="G8" s="687"/>
      <c r="H8" s="687"/>
      <c r="I8" s="687"/>
      <c r="J8" s="687"/>
      <c r="K8" s="687"/>
      <c r="L8" s="687"/>
      <c r="M8" s="687"/>
      <c r="N8" s="687"/>
      <c r="O8" s="4"/>
    </row>
    <row r="9" spans="1:15" ht="18" customHeight="1" x14ac:dyDescent="0.25">
      <c r="A9" s="687"/>
      <c r="B9" s="687"/>
      <c r="C9" s="687"/>
      <c r="D9" s="687"/>
      <c r="E9" s="687"/>
      <c r="F9" s="687"/>
      <c r="G9" s="687"/>
      <c r="H9" s="687"/>
      <c r="I9" s="687"/>
      <c r="J9" s="687"/>
      <c r="K9" s="687"/>
      <c r="L9" s="687"/>
      <c r="M9" s="687"/>
      <c r="N9" s="687"/>
      <c r="O9" s="4"/>
    </row>
    <row r="10" spans="1:15" ht="18" customHeight="1" x14ac:dyDescent="0.25">
      <c r="A10" s="4"/>
      <c r="B10" s="4"/>
      <c r="C10" s="4"/>
      <c r="D10" s="4"/>
      <c r="E10" s="4"/>
      <c r="F10" s="4"/>
      <c r="G10" s="4"/>
      <c r="H10" s="4"/>
      <c r="I10" s="4"/>
      <c r="J10" s="4"/>
      <c r="K10" s="4"/>
      <c r="L10" s="4"/>
      <c r="M10" s="4"/>
      <c r="N10" s="4"/>
      <c r="O10" s="4"/>
    </row>
    <row r="11" spans="1:15" ht="18" customHeight="1" x14ac:dyDescent="0.25">
      <c r="A11" s="688" t="s">
        <v>144</v>
      </c>
      <c r="B11" s="688"/>
      <c r="C11" s="688"/>
      <c r="D11" s="688"/>
      <c r="E11" s="688"/>
      <c r="F11" s="688"/>
      <c r="G11" s="688"/>
      <c r="H11" s="688"/>
      <c r="I11" s="688"/>
      <c r="J11" s="688"/>
      <c r="K11" s="688"/>
      <c r="L11" s="688"/>
      <c r="M11" s="688"/>
      <c r="N11" s="688"/>
      <c r="O11" s="62"/>
    </row>
    <row r="12" spans="1:15" x14ac:dyDescent="0.25">
      <c r="A12" s="5"/>
      <c r="B12" s="5"/>
      <c r="C12" s="5"/>
      <c r="D12" s="5"/>
      <c r="E12" s="5"/>
      <c r="F12" s="5"/>
      <c r="G12" s="5"/>
      <c r="H12" s="5"/>
      <c r="I12" s="5"/>
      <c r="J12" s="5"/>
      <c r="K12" s="5"/>
      <c r="L12" s="5"/>
      <c r="M12" s="5"/>
      <c r="N12" s="5"/>
      <c r="O12" s="5"/>
    </row>
    <row r="13" spans="1:15" x14ac:dyDescent="0.25">
      <c r="A13" s="6"/>
      <c r="B13" s="6"/>
      <c r="C13" s="6"/>
      <c r="D13" s="6"/>
      <c r="E13" s="6"/>
      <c r="F13" s="6"/>
      <c r="G13" s="6"/>
      <c r="H13" s="6"/>
      <c r="I13" s="6"/>
      <c r="J13" s="6"/>
      <c r="K13" s="6"/>
      <c r="L13" s="6"/>
      <c r="M13" s="6"/>
      <c r="N13" s="6"/>
      <c r="O13" s="5"/>
    </row>
    <row r="14" spans="1:15" ht="15.75" customHeight="1" thickBot="1" x14ac:dyDescent="0.3">
      <c r="A14" s="698" t="s">
        <v>5</v>
      </c>
      <c r="B14" s="698"/>
      <c r="C14" s="698"/>
      <c r="D14" s="698"/>
      <c r="E14" s="698"/>
      <c r="F14" s="698"/>
      <c r="G14" s="698"/>
      <c r="H14" s="698"/>
      <c r="I14" s="698"/>
      <c r="J14" s="698"/>
      <c r="K14" s="698"/>
      <c r="L14" s="698"/>
      <c r="M14" s="698"/>
      <c r="N14" s="698"/>
      <c r="O14" s="698"/>
    </row>
    <row r="15" spans="1:15" ht="27" customHeight="1" thickBot="1" x14ac:dyDescent="0.3">
      <c r="A15" s="699" t="s">
        <v>6</v>
      </c>
      <c r="B15" s="702" t="s">
        <v>7</v>
      </c>
      <c r="C15" s="703"/>
      <c r="D15" s="689" t="s">
        <v>8</v>
      </c>
      <c r="E15" s="689" t="s">
        <v>9</v>
      </c>
      <c r="F15" s="689" t="s">
        <v>10</v>
      </c>
      <c r="G15" s="689" t="s">
        <v>11</v>
      </c>
      <c r="H15" s="702" t="s">
        <v>12</v>
      </c>
      <c r="I15" s="703"/>
      <c r="J15" s="689" t="s">
        <v>60</v>
      </c>
      <c r="K15" s="79"/>
      <c r="L15" s="79"/>
      <c r="M15" s="689" t="s">
        <v>13</v>
      </c>
      <c r="N15" s="689" t="s">
        <v>14</v>
      </c>
      <c r="O15" s="691" t="s">
        <v>15</v>
      </c>
    </row>
    <row r="16" spans="1:15" ht="2.25" customHeight="1" thickBot="1" x14ac:dyDescent="0.3">
      <c r="A16" s="700"/>
      <c r="B16" s="704"/>
      <c r="C16" s="705"/>
      <c r="D16" s="690"/>
      <c r="E16" s="690"/>
      <c r="F16" s="690"/>
      <c r="G16" s="706"/>
      <c r="H16" s="63" t="s">
        <v>16</v>
      </c>
      <c r="I16" s="689" t="s">
        <v>17</v>
      </c>
      <c r="J16" s="707"/>
      <c r="K16" s="82"/>
      <c r="L16" s="82"/>
      <c r="M16" s="707"/>
      <c r="N16" s="690"/>
      <c r="O16" s="692"/>
    </row>
    <row r="17" spans="1:20" ht="26.25" customHeight="1" x14ac:dyDescent="0.25">
      <c r="A17" s="701"/>
      <c r="B17" s="79" t="s">
        <v>18</v>
      </c>
      <c r="C17" s="81" t="s">
        <v>19</v>
      </c>
      <c r="D17" s="690"/>
      <c r="E17" s="690"/>
      <c r="F17" s="690"/>
      <c r="G17" s="706"/>
      <c r="H17" s="64" t="s">
        <v>20</v>
      </c>
      <c r="I17" s="690"/>
      <c r="J17" s="707"/>
      <c r="K17" s="80" t="s">
        <v>21</v>
      </c>
      <c r="L17" s="80" t="s">
        <v>22</v>
      </c>
      <c r="M17" s="707"/>
      <c r="N17" s="690"/>
      <c r="O17" s="693"/>
    </row>
    <row r="18" spans="1:20" ht="74.25" x14ac:dyDescent="0.25">
      <c r="A18" s="248">
        <f>JULIO!A18</f>
        <v>1</v>
      </c>
      <c r="B18" s="95" t="s">
        <v>61</v>
      </c>
      <c r="C18" s="206" t="s">
        <v>64</v>
      </c>
      <c r="D18" s="95" t="s">
        <v>23</v>
      </c>
      <c r="E18" s="201" t="s">
        <v>246</v>
      </c>
      <c r="F18" s="207" t="s">
        <v>66</v>
      </c>
      <c r="G18" s="307">
        <f>JULIO!G18</f>
        <v>8</v>
      </c>
      <c r="H18" s="307">
        <f>JULIO!H18</f>
        <v>0</v>
      </c>
      <c r="I18" s="307">
        <f>JULIO!I18</f>
        <v>0</v>
      </c>
      <c r="J18" s="307">
        <f>JULIO!J18</f>
        <v>500000</v>
      </c>
      <c r="K18" s="307">
        <f>JULIO!K18</f>
        <v>2600</v>
      </c>
      <c r="L18" s="307">
        <f>JULIO!L18</f>
        <v>6250</v>
      </c>
      <c r="M18" s="307">
        <f>JULIO!M18</f>
        <v>0</v>
      </c>
      <c r="N18" s="307">
        <f>JULIO!N18</f>
        <v>10414.040000000001</v>
      </c>
      <c r="O18" s="198">
        <f t="shared" ref="O18:O25" si="0">SUM(M18:N18)</f>
        <v>10414.040000000001</v>
      </c>
      <c r="P18" s="7"/>
    </row>
    <row r="19" spans="1:20" ht="71.25" x14ac:dyDescent="0.25">
      <c r="A19" s="248">
        <f>JULIO!A19</f>
        <v>0</v>
      </c>
      <c r="B19" s="95" t="s">
        <v>62</v>
      </c>
      <c r="C19" s="206" t="s">
        <v>84</v>
      </c>
      <c r="D19" s="95" t="s">
        <v>23</v>
      </c>
      <c r="E19" s="201" t="s">
        <v>246</v>
      </c>
      <c r="F19" s="207" t="s">
        <v>101</v>
      </c>
      <c r="G19" s="197">
        <f>JULIO!G19</f>
        <v>8</v>
      </c>
      <c r="H19" s="197">
        <f>JULIO!H19</f>
        <v>0</v>
      </c>
      <c r="I19" s="197">
        <f>JULIO!I19</f>
        <v>0</v>
      </c>
      <c r="J19" s="197">
        <f>JULIO!J19</f>
        <v>0</v>
      </c>
      <c r="K19" s="197">
        <f>JULIO!K19</f>
        <v>2600</v>
      </c>
      <c r="L19" s="197">
        <f>JULIO!L19</f>
        <v>6250</v>
      </c>
      <c r="M19" s="197">
        <f>JULIO!M19</f>
        <v>0</v>
      </c>
      <c r="N19" s="197">
        <f>JULIO!N19</f>
        <v>0</v>
      </c>
      <c r="O19" s="198">
        <f t="shared" si="0"/>
        <v>0</v>
      </c>
      <c r="P19" s="7"/>
      <c r="Q19" s="19"/>
    </row>
    <row r="20" spans="1:20" ht="71.25" x14ac:dyDescent="0.25">
      <c r="A20" s="248">
        <f>JULIO!A21+SEPTIEMBRE!A21</f>
        <v>1</v>
      </c>
      <c r="B20" s="106" t="s">
        <v>208</v>
      </c>
      <c r="C20" s="445" t="s">
        <v>126</v>
      </c>
      <c r="D20" s="95" t="s">
        <v>23</v>
      </c>
      <c r="E20" s="201" t="s">
        <v>246</v>
      </c>
      <c r="F20" s="207" t="s">
        <v>125</v>
      </c>
      <c r="G20" s="197">
        <f>JULIO!G21+SEPTIEMBRE!G21</f>
        <v>16</v>
      </c>
      <c r="H20" s="197">
        <f>JULIO!H21+SEPTIEMBRE!H21</f>
        <v>6</v>
      </c>
      <c r="I20" s="197">
        <f>JULIO!I21+SEPTIEMBRE!I21</f>
        <v>2</v>
      </c>
      <c r="J20" s="197">
        <f>JULIO!J21+SEPTIEMBRE!J21</f>
        <v>1070000</v>
      </c>
      <c r="K20" s="197">
        <f>JULIO!K21+SEPTIEMBRE!K21</f>
        <v>5200</v>
      </c>
      <c r="L20" s="197">
        <f>JULIO!L21+SEPTIEMBRE!L21</f>
        <v>12500</v>
      </c>
      <c r="M20" s="197">
        <f>JULIO!M21+SEPTIEMBRE!M21</f>
        <v>0</v>
      </c>
      <c r="N20" s="197">
        <f>JULIO!N21+SEPTIEMBRE!N21</f>
        <v>33615.120000000003</v>
      </c>
      <c r="O20" s="198">
        <f t="shared" si="0"/>
        <v>33615.120000000003</v>
      </c>
      <c r="P20" s="7"/>
      <c r="Q20" s="19"/>
      <c r="R20" s="19"/>
      <c r="S20" s="19"/>
      <c r="T20" s="19"/>
    </row>
    <row r="21" spans="1:20" ht="94.5" x14ac:dyDescent="0.25">
      <c r="A21" s="248">
        <f>JULIO!A22+AGOSTO!A22+AGOSTO!A24+SEPTIEMBRE!A18</f>
        <v>4</v>
      </c>
      <c r="B21" s="106" t="s">
        <v>213</v>
      </c>
      <c r="C21" s="467" t="s">
        <v>265</v>
      </c>
      <c r="D21" s="95" t="s">
        <v>23</v>
      </c>
      <c r="E21" s="201" t="s">
        <v>246</v>
      </c>
      <c r="F21" s="207" t="s">
        <v>67</v>
      </c>
      <c r="G21" s="197">
        <f>JULIO!G22+AGOSTO!G22+AGOSTO!G24+SEPTIEMBRE!G18</f>
        <v>40</v>
      </c>
      <c r="H21" s="197">
        <f>JULIO!H22+AGOSTO!H22+AGOSTO!H24+SEPTIEMBRE!H18</f>
        <v>5</v>
      </c>
      <c r="I21" s="197">
        <f>JULIO!I22+AGOSTO!I22+AGOSTO!I24+SEPTIEMBRE!I18</f>
        <v>0</v>
      </c>
      <c r="J21" s="197">
        <f>JULIO!J22+AGOSTO!J22+AGOSTO!J24+SEPTIEMBRE!J18</f>
        <v>535000</v>
      </c>
      <c r="K21" s="197">
        <f>JULIO!K22+AGOSTO!K22+AGOSTO!K24+SEPTIEMBRE!K18</f>
        <v>12700</v>
      </c>
      <c r="L21" s="197">
        <f>JULIO!L22+AGOSTO!L22+AGOSTO!L24+SEPTIEMBRE!L18</f>
        <v>25250</v>
      </c>
      <c r="M21" s="197">
        <f>JULIO!M22+AGOSTO!M22+AGOSTO!M24+SEPTIEMBRE!M18</f>
        <v>69562.75</v>
      </c>
      <c r="N21" s="197">
        <f>JULIO!N22+AGOSTO!N22+AGOSTO!N24+SEPTIEMBRE!N18</f>
        <v>44845.36</v>
      </c>
      <c r="O21" s="198">
        <f t="shared" si="0"/>
        <v>114408.11</v>
      </c>
      <c r="P21" s="7"/>
      <c r="Q21" s="19"/>
      <c r="R21" s="19"/>
      <c r="S21" s="19"/>
      <c r="T21" s="19"/>
    </row>
    <row r="22" spans="1:20" ht="94.5" x14ac:dyDescent="0.25">
      <c r="A22" s="248">
        <f>AGOSTO!A21+AGOSTO!A18+SEPTIEMBRE!A20</f>
        <v>3</v>
      </c>
      <c r="B22" s="207"/>
      <c r="C22" s="481" t="s">
        <v>267</v>
      </c>
      <c r="D22" s="95" t="s">
        <v>23</v>
      </c>
      <c r="E22" s="201" t="s">
        <v>246</v>
      </c>
      <c r="F22" s="50" t="s">
        <v>259</v>
      </c>
      <c r="G22" s="197">
        <f>AGOSTO!G18+AGOSTO!G21+SEPTIEMBRE!G20</f>
        <v>40</v>
      </c>
      <c r="H22" s="197">
        <f>AGOSTO!H18+AGOSTO!H21+SEPTIEMBRE!H20</f>
        <v>0</v>
      </c>
      <c r="I22" s="197">
        <f>AGOSTO!I18+AGOSTO!I21+SEPTIEMBRE!I20</f>
        <v>0</v>
      </c>
      <c r="J22" s="197">
        <f>AGOSTO!J18+AGOSTO!J21+SEPTIEMBRE!J20</f>
        <v>300000</v>
      </c>
      <c r="K22" s="197">
        <f>AGOSTO!K18+AGOSTO!K21+SEPTIEMBRE!K20</f>
        <v>7000</v>
      </c>
      <c r="L22" s="197">
        <f>AGOSTO!L18+AGOSTO!L21+SEPTIEMBRE!L20</f>
        <v>24937.5</v>
      </c>
      <c r="M22" s="197">
        <f>AGOSTO!M18+AGOSTO!M21+SEPTIEMBRE!M20</f>
        <v>0</v>
      </c>
      <c r="N22" s="197">
        <f>AGOSTO!N18+AGOSTO!N21+SEPTIEMBRE!N20</f>
        <v>0</v>
      </c>
      <c r="O22" s="197">
        <f>AGOSTO!O18+AGOSTO!O21+SEPTIEMBRE!O20</f>
        <v>0</v>
      </c>
      <c r="P22" s="7"/>
      <c r="Q22" s="19"/>
      <c r="R22" s="19"/>
      <c r="S22" s="19"/>
      <c r="T22" s="19"/>
    </row>
    <row r="23" spans="1:20" ht="126" x14ac:dyDescent="0.25">
      <c r="A23" s="248">
        <f>AGOSTO!A19+SEPTIEMBRE!A22</f>
        <v>1</v>
      </c>
      <c r="B23" s="106" t="s">
        <v>208</v>
      </c>
      <c r="C23" s="482" t="s">
        <v>269</v>
      </c>
      <c r="D23" s="95" t="s">
        <v>23</v>
      </c>
      <c r="E23" s="201" t="s">
        <v>246</v>
      </c>
      <c r="F23" s="50" t="s">
        <v>205</v>
      </c>
      <c r="G23" s="197">
        <f>AGOSTO!G19+SEPTIEMBRE!G22</f>
        <v>16</v>
      </c>
      <c r="H23" s="197">
        <f>AGOSTO!H19+SEPTIEMBRE!H22</f>
        <v>0</v>
      </c>
      <c r="I23" s="197">
        <f>AGOSTO!I19+SEPTIEMBRE!I22</f>
        <v>0</v>
      </c>
      <c r="J23" s="197">
        <f>AGOSTO!J19+SEPTIEMBRE!J22</f>
        <v>280000</v>
      </c>
      <c r="K23" s="197">
        <f>AGOSTO!K19+SEPTIEMBRE!K22</f>
        <v>4700</v>
      </c>
      <c r="L23" s="197">
        <f>AGOSTO!L19+SEPTIEMBRE!L22</f>
        <v>10500</v>
      </c>
      <c r="M23" s="197">
        <f>AGOSTO!M19+SEPTIEMBRE!M22</f>
        <v>0</v>
      </c>
      <c r="N23" s="197">
        <f>AGOSTO!N19+SEPTIEMBRE!N22</f>
        <v>11215.12</v>
      </c>
      <c r="O23" s="198">
        <f t="shared" si="0"/>
        <v>11215.12</v>
      </c>
      <c r="P23" s="7"/>
      <c r="Q23" s="19"/>
      <c r="R23" s="19"/>
      <c r="S23" s="19"/>
      <c r="T23" s="19"/>
    </row>
    <row r="24" spans="1:20" ht="88.5" x14ac:dyDescent="0.25">
      <c r="A24" s="248">
        <f>AGOSTO!A20+AGOSTO!A25</f>
        <v>0</v>
      </c>
      <c r="B24" s="50" t="s">
        <v>63</v>
      </c>
      <c r="C24" s="446" t="s">
        <v>65</v>
      </c>
      <c r="D24" s="49" t="s">
        <v>23</v>
      </c>
      <c r="E24" s="201" t="s">
        <v>246</v>
      </c>
      <c r="F24" s="50" t="s">
        <v>68</v>
      </c>
      <c r="G24" s="52">
        <f>AGOSTO!G25+SEPTIEMBRE!G19+AGOSTO!G20</f>
        <v>24</v>
      </c>
      <c r="H24" s="52">
        <f>AGOSTO!H25+SEPTIEMBRE!H19+AGOSTO!H20</f>
        <v>0</v>
      </c>
      <c r="I24" s="52">
        <f>AGOSTO!I25+SEPTIEMBRE!I19+AGOSTO!I20</f>
        <v>0</v>
      </c>
      <c r="J24" s="52">
        <f>AGOSTO!J25+SEPTIEMBRE!J19+AGOSTO!J20</f>
        <v>1150000</v>
      </c>
      <c r="K24" s="52">
        <f>AGOSTO!K25+SEPTIEMBRE!K19+AGOSTO!K20</f>
        <v>7300</v>
      </c>
      <c r="L24" s="52">
        <f>AGOSTO!L25+SEPTIEMBRE!L19+AGOSTO!L20</f>
        <v>14750</v>
      </c>
      <c r="M24" s="52">
        <f>AGOSTO!M25+SEPTIEMBRE!M19+AGOSTO!M20</f>
        <v>32928.15</v>
      </c>
      <c r="N24" s="52">
        <f>AGOSTO!N25+SEPTIEMBRE!N19+AGOSTO!N20</f>
        <v>32029.160000000003</v>
      </c>
      <c r="O24" s="198">
        <f t="shared" si="0"/>
        <v>64957.310000000005</v>
      </c>
      <c r="P24" s="7"/>
      <c r="R24" s="19"/>
      <c r="S24" s="19"/>
    </row>
    <row r="25" spans="1:20" ht="100.5" thickBot="1" x14ac:dyDescent="0.3">
      <c r="A25" s="675">
        <f>AGOSTO!A23</f>
        <v>1</v>
      </c>
      <c r="B25" s="95" t="s">
        <v>62</v>
      </c>
      <c r="C25" s="206" t="s">
        <v>202</v>
      </c>
      <c r="D25" s="676" t="s">
        <v>23</v>
      </c>
      <c r="E25" s="677" t="s">
        <v>246</v>
      </c>
      <c r="F25" s="676" t="s">
        <v>201</v>
      </c>
      <c r="G25" s="678">
        <f>AGOSTO!G23</f>
        <v>8</v>
      </c>
      <c r="H25" s="678">
        <f>AGOSTO!H23</f>
        <v>0</v>
      </c>
      <c r="I25" s="678">
        <f>AGOSTO!I23</f>
        <v>0</v>
      </c>
      <c r="J25" s="678">
        <f>AGOSTO!J23</f>
        <v>0</v>
      </c>
      <c r="K25" s="678">
        <f>AGOSTO!K23</f>
        <v>1700</v>
      </c>
      <c r="L25" s="678">
        <f>AGOSTO!L23</f>
        <v>2750</v>
      </c>
      <c r="M25" s="678">
        <f>AGOSTO!M23</f>
        <v>0</v>
      </c>
      <c r="N25" s="678">
        <f>AGOSTO!N23</f>
        <v>10414.040000000001</v>
      </c>
      <c r="O25" s="303">
        <f t="shared" si="0"/>
        <v>10414.040000000001</v>
      </c>
      <c r="P25" s="7"/>
    </row>
    <row r="26" spans="1:20" ht="25.5" customHeight="1" thickBot="1" x14ac:dyDescent="0.4">
      <c r="A26" s="101">
        <f>SUM(A18:A25)</f>
        <v>11</v>
      </c>
      <c r="B26" s="697" t="s">
        <v>24</v>
      </c>
      <c r="C26" s="697"/>
      <c r="D26" s="697"/>
      <c r="E26" s="697"/>
      <c r="F26" s="697"/>
      <c r="G26" s="332">
        <f t="shared" ref="G26:N26" si="1">SUM(G18:G25)</f>
        <v>160</v>
      </c>
      <c r="H26" s="332">
        <f t="shared" si="1"/>
        <v>11</v>
      </c>
      <c r="I26" s="332">
        <f t="shared" si="1"/>
        <v>2</v>
      </c>
      <c r="J26" s="332">
        <f t="shared" si="1"/>
        <v>3835000</v>
      </c>
      <c r="K26" s="332">
        <f t="shared" si="1"/>
        <v>43800</v>
      </c>
      <c r="L26" s="332">
        <f t="shared" si="1"/>
        <v>103187.5</v>
      </c>
      <c r="M26" s="332">
        <f t="shared" si="1"/>
        <v>102490.9</v>
      </c>
      <c r="N26" s="332">
        <f t="shared" si="1"/>
        <v>142532.84</v>
      </c>
      <c r="O26" s="332">
        <f>SUM(O18:O25)</f>
        <v>245023.74000000002</v>
      </c>
      <c r="P26" s="7"/>
      <c r="Q26" s="673"/>
    </row>
    <row r="27" spans="1:20" ht="15.75" customHeight="1" thickBot="1" x14ac:dyDescent="0.3">
      <c r="A27" s="695" t="s">
        <v>25</v>
      </c>
      <c r="B27" s="696"/>
      <c r="C27" s="696"/>
      <c r="D27" s="696"/>
      <c r="E27" s="696"/>
      <c r="F27" s="696"/>
      <c r="G27" s="696"/>
      <c r="H27" s="8"/>
      <c r="I27" s="8"/>
      <c r="J27" s="9"/>
      <c r="K27" s="9"/>
      <c r="L27" s="9"/>
      <c r="M27" s="10">
        <v>0</v>
      </c>
      <c r="N27" s="10">
        <f>N26*-0.1</f>
        <v>-14253.284</v>
      </c>
      <c r="O27" s="11">
        <f>N27</f>
        <v>-14253.284</v>
      </c>
    </row>
    <row r="28" spans="1:20" ht="15.75" customHeight="1" thickBot="1" x14ac:dyDescent="0.3">
      <c r="A28" s="697" t="s">
        <v>26</v>
      </c>
      <c r="B28" s="697"/>
      <c r="C28" s="697"/>
      <c r="D28" s="697"/>
      <c r="E28" s="697"/>
      <c r="F28" s="697"/>
      <c r="G28" s="697"/>
      <c r="H28" s="12"/>
      <c r="I28" s="12"/>
      <c r="J28" s="13"/>
      <c r="K28" s="13"/>
      <c r="L28" s="13"/>
      <c r="M28" s="10">
        <f>+M26+M27</f>
        <v>102490.9</v>
      </c>
      <c r="N28" s="10">
        <f>+N26+N27</f>
        <v>128279.556</v>
      </c>
      <c r="O28" s="11">
        <f>+O26+O27</f>
        <v>230770.45600000001</v>
      </c>
      <c r="P28" s="7"/>
    </row>
    <row r="29" spans="1:20" x14ac:dyDescent="0.25">
      <c r="A29" s="14"/>
      <c r="B29" s="14"/>
      <c r="C29" s="14"/>
      <c r="D29" s="14"/>
      <c r="E29" s="14"/>
      <c r="F29" s="14"/>
      <c r="G29" s="14"/>
      <c r="H29" s="15"/>
      <c r="I29" s="15"/>
      <c r="J29" s="16"/>
      <c r="K29" s="16"/>
      <c r="L29" s="16"/>
      <c r="M29" s="16"/>
      <c r="N29" s="16"/>
      <c r="O29" s="17"/>
    </row>
    <row r="30" spans="1:20" ht="16.5" customHeight="1" thickBot="1" x14ac:dyDescent="0.3">
      <c r="A30" s="711" t="s">
        <v>27</v>
      </c>
      <c r="B30" s="711"/>
      <c r="C30" s="711"/>
      <c r="D30" s="711"/>
      <c r="E30" s="711"/>
      <c r="F30" s="711"/>
      <c r="G30" s="711"/>
      <c r="H30" s="711"/>
      <c r="I30" s="711"/>
      <c r="J30" s="711"/>
      <c r="K30" s="711"/>
      <c r="L30" s="711"/>
      <c r="M30" s="711"/>
      <c r="N30" s="18"/>
      <c r="O30" s="18"/>
    </row>
    <row r="31" spans="1:20" ht="23.25" customHeight="1" thickBot="1" x14ac:dyDescent="0.3">
      <c r="A31" s="699" t="s">
        <v>6</v>
      </c>
      <c r="B31" s="702" t="s">
        <v>7</v>
      </c>
      <c r="C31" s="703"/>
      <c r="D31" s="689" t="s">
        <v>8</v>
      </c>
      <c r="E31" s="689" t="s">
        <v>9</v>
      </c>
      <c r="F31" s="689" t="s">
        <v>10</v>
      </c>
      <c r="G31" s="689" t="s">
        <v>28</v>
      </c>
      <c r="H31" s="702" t="s">
        <v>12</v>
      </c>
      <c r="I31" s="703"/>
      <c r="J31" s="689" t="s">
        <v>60</v>
      </c>
      <c r="K31" s="79"/>
      <c r="L31" s="79"/>
      <c r="M31" s="689" t="s">
        <v>13</v>
      </c>
      <c r="N31" s="689" t="s">
        <v>14</v>
      </c>
      <c r="O31" s="691" t="s">
        <v>15</v>
      </c>
    </row>
    <row r="32" spans="1:20" ht="0.75" customHeight="1" thickBot="1" x14ac:dyDescent="0.3">
      <c r="A32" s="700"/>
      <c r="B32" s="704"/>
      <c r="C32" s="705"/>
      <c r="D32" s="690"/>
      <c r="E32" s="690"/>
      <c r="F32" s="690"/>
      <c r="G32" s="706"/>
      <c r="H32" s="689" t="s">
        <v>20</v>
      </c>
      <c r="I32" s="689" t="s">
        <v>17</v>
      </c>
      <c r="J32" s="707"/>
      <c r="K32" s="82"/>
      <c r="L32" s="82"/>
      <c r="M32" s="707"/>
      <c r="N32" s="690"/>
      <c r="O32" s="692"/>
    </row>
    <row r="33" spans="1:19" ht="42.75" customHeight="1" x14ac:dyDescent="0.25">
      <c r="A33" s="701"/>
      <c r="B33" s="66" t="s">
        <v>18</v>
      </c>
      <c r="C33" s="81" t="s">
        <v>19</v>
      </c>
      <c r="D33" s="690"/>
      <c r="E33" s="690"/>
      <c r="F33" s="690"/>
      <c r="G33" s="706"/>
      <c r="H33" s="690"/>
      <c r="I33" s="690"/>
      <c r="J33" s="707"/>
      <c r="K33" s="80" t="s">
        <v>21</v>
      </c>
      <c r="L33" s="80" t="s">
        <v>22</v>
      </c>
      <c r="M33" s="707"/>
      <c r="N33" s="690"/>
      <c r="O33" s="693"/>
    </row>
    <row r="34" spans="1:19" ht="107.25" customHeight="1" x14ac:dyDescent="0.25">
      <c r="A34" s="250">
        <f>JULIO!A31+AGOSTO!A35</f>
        <v>1</v>
      </c>
      <c r="B34" s="95" t="s">
        <v>116</v>
      </c>
      <c r="C34" s="220" t="s">
        <v>185</v>
      </c>
      <c r="D34" s="50" t="s">
        <v>29</v>
      </c>
      <c r="E34" s="84" t="s">
        <v>246</v>
      </c>
      <c r="F34" s="50" t="s">
        <v>131</v>
      </c>
      <c r="G34" s="49">
        <f>JULIO!G31+AGOSTO!G35</f>
        <v>24</v>
      </c>
      <c r="H34" s="49">
        <f>JULIO!H31+AGOSTO!H35</f>
        <v>0</v>
      </c>
      <c r="I34" s="49">
        <f>JULIO!I31+AGOSTO!I35</f>
        <v>0</v>
      </c>
      <c r="J34" s="49">
        <f>JULIO!J31+AGOSTO!J35</f>
        <v>0</v>
      </c>
      <c r="K34" s="49">
        <f>JULIO!K31+AGOSTO!K35</f>
        <v>3490</v>
      </c>
      <c r="L34" s="49">
        <f>JULIO!L31+AGOSTO!L35</f>
        <v>19430</v>
      </c>
      <c r="M34" s="49">
        <f>JULIO!M31+AGOSTO!M35</f>
        <v>0</v>
      </c>
      <c r="N34" s="49">
        <f>JULIO!N31+AGOSTO!N35</f>
        <v>0</v>
      </c>
      <c r="O34" s="249">
        <f>SUM(M34:N34)</f>
        <v>0</v>
      </c>
      <c r="P34" s="7"/>
    </row>
    <row r="35" spans="1:19" ht="107.25" customHeight="1" x14ac:dyDescent="0.25">
      <c r="A35" s="250">
        <f>JULIO!A32+SEPTIEMBRE!A31+SEPTIEMBRE!A32</f>
        <v>3</v>
      </c>
      <c r="B35" s="95" t="s">
        <v>93</v>
      </c>
      <c r="C35" s="220" t="s">
        <v>250</v>
      </c>
      <c r="D35" s="50" t="s">
        <v>29</v>
      </c>
      <c r="E35" s="84" t="s">
        <v>246</v>
      </c>
      <c r="F35" s="50" t="s">
        <v>132</v>
      </c>
      <c r="G35" s="49">
        <f>JULIO!G32+SEPTIEMBRE!G31+SEPTIEMBRE!G32</f>
        <v>40</v>
      </c>
      <c r="H35" s="49">
        <f>JULIO!H32+SEPTIEMBRE!H31+SEPTIEMBRE!H32</f>
        <v>0</v>
      </c>
      <c r="I35" s="49">
        <f>JULIO!I32+SEPTIEMBRE!I31+SEPTIEMBRE!I32</f>
        <v>0</v>
      </c>
      <c r="J35" s="49">
        <f>JULIO!J32+SEPTIEMBRE!J31+SEPTIEMBRE!J32</f>
        <v>650000</v>
      </c>
      <c r="K35" s="49">
        <f>JULIO!K32+SEPTIEMBRE!K31+SEPTIEMBRE!K32</f>
        <v>9860</v>
      </c>
      <c r="L35" s="49">
        <f>JULIO!L32+SEPTIEMBRE!L31+SEPTIEMBRE!L32</f>
        <v>38570</v>
      </c>
      <c r="M35" s="49">
        <f>JULIO!M32+SEPTIEMBRE!M31+SEPTIEMBRE!M32</f>
        <v>0</v>
      </c>
      <c r="N35" s="49">
        <f>JULIO!N32+SEPTIEMBRE!N31+SEPTIEMBRE!N32</f>
        <v>33845.630000000005</v>
      </c>
      <c r="O35" s="249">
        <f t="shared" ref="O35:O41" si="2">SUM(M35:N35)</f>
        <v>33845.630000000005</v>
      </c>
      <c r="P35" s="7"/>
    </row>
    <row r="36" spans="1:19" ht="80.25" customHeight="1" x14ac:dyDescent="0.25">
      <c r="A36" s="250">
        <f>JULIO!A33+JULIO!A35</f>
        <v>1</v>
      </c>
      <c r="B36" s="95" t="s">
        <v>93</v>
      </c>
      <c r="C36" s="437" t="s">
        <v>165</v>
      </c>
      <c r="D36" s="50" t="s">
        <v>29</v>
      </c>
      <c r="E36" s="84" t="s">
        <v>246</v>
      </c>
      <c r="F36" s="50" t="s">
        <v>247</v>
      </c>
      <c r="G36" s="49">
        <f>JULIO!G33+JULIO!G35</f>
        <v>16</v>
      </c>
      <c r="H36" s="49">
        <f>JULIO!H33+JULIO!H35</f>
        <v>0</v>
      </c>
      <c r="I36" s="49">
        <f>JULIO!I33+JULIO!I35</f>
        <v>0</v>
      </c>
      <c r="J36" s="49">
        <f>JULIO!J33+JULIO!J35</f>
        <v>1070000</v>
      </c>
      <c r="K36" s="49">
        <f>JULIO!K33+JULIO!K35</f>
        <v>6820</v>
      </c>
      <c r="L36" s="49">
        <f>JULIO!L33+JULIO!L35</f>
        <v>28490</v>
      </c>
      <c r="M36" s="49">
        <f>JULIO!M33+JULIO!M35</f>
        <v>0</v>
      </c>
      <c r="N36" s="49">
        <f>JULIO!N33+JULIO!N35</f>
        <v>20555.080000000002</v>
      </c>
      <c r="O36" s="249">
        <f t="shared" si="2"/>
        <v>20555.080000000002</v>
      </c>
      <c r="P36" s="7"/>
    </row>
    <row r="37" spans="1:19" ht="107.25" customHeight="1" x14ac:dyDescent="0.25">
      <c r="A37" s="250">
        <f>JULIO!A34</f>
        <v>0</v>
      </c>
      <c r="B37" s="50"/>
      <c r="C37" s="206" t="s">
        <v>249</v>
      </c>
      <c r="D37" s="95" t="s">
        <v>29</v>
      </c>
      <c r="E37" s="84" t="s">
        <v>246</v>
      </c>
      <c r="F37" s="95" t="s">
        <v>114</v>
      </c>
      <c r="G37" s="49">
        <f>JULIO!G34</f>
        <v>8</v>
      </c>
      <c r="H37" s="49">
        <f>JULIO!H34</f>
        <v>0</v>
      </c>
      <c r="I37" s="49">
        <f>JULIO!I34</f>
        <v>0</v>
      </c>
      <c r="J37" s="49">
        <f>JULIO!J34</f>
        <v>0</v>
      </c>
      <c r="K37" s="49">
        <f>JULIO!K34</f>
        <v>2480</v>
      </c>
      <c r="L37" s="49">
        <f>JULIO!L34</f>
        <v>10360</v>
      </c>
      <c r="M37" s="49">
        <f>JULIO!M34</f>
        <v>0</v>
      </c>
      <c r="N37" s="49">
        <f>JULIO!N34</f>
        <v>0</v>
      </c>
      <c r="O37" s="249">
        <f t="shared" si="2"/>
        <v>0</v>
      </c>
      <c r="P37" s="7"/>
    </row>
    <row r="38" spans="1:19" ht="57" customHeight="1" x14ac:dyDescent="0.25">
      <c r="A38" s="250">
        <f>JULIO!A36+JULIO!A37+AGOSTO!A36</f>
        <v>1</v>
      </c>
      <c r="B38" s="95" t="s">
        <v>116</v>
      </c>
      <c r="C38" s="206" t="s">
        <v>251</v>
      </c>
      <c r="D38" s="50" t="s">
        <v>29</v>
      </c>
      <c r="E38" s="84" t="s">
        <v>246</v>
      </c>
      <c r="F38" s="95" t="s">
        <v>121</v>
      </c>
      <c r="G38" s="49">
        <f>JULIO!G36+JULIO!G37+AGOSTO!G36</f>
        <v>32</v>
      </c>
      <c r="H38" s="49">
        <f>JULIO!H36+JULIO!H37+AGOSTO!H36</f>
        <v>0</v>
      </c>
      <c r="I38" s="49">
        <f>JULIO!I36+JULIO!I37+AGOSTO!I36</f>
        <v>0</v>
      </c>
      <c r="J38" s="49">
        <f>JULIO!J36+JULIO!J37+AGOSTO!J36</f>
        <v>0</v>
      </c>
      <c r="K38" s="49">
        <f>JULIO!K36+JULIO!K37+AGOSTO!K36</f>
        <v>8750</v>
      </c>
      <c r="L38" s="49">
        <f>JULIO!L36+JULIO!L37+AGOSTO!L36</f>
        <v>47910</v>
      </c>
      <c r="M38" s="49">
        <f>JULIO!M36+JULIO!M37+AGOSTO!M36</f>
        <v>24214.660000000003</v>
      </c>
      <c r="N38" s="49">
        <f>JULIO!N36+JULIO!N37+AGOSTO!N36</f>
        <v>11215.12</v>
      </c>
      <c r="O38" s="249">
        <f t="shared" si="2"/>
        <v>35429.780000000006</v>
      </c>
      <c r="P38" s="7"/>
    </row>
    <row r="39" spans="1:19" ht="76.5" customHeight="1" x14ac:dyDescent="0.25">
      <c r="A39" s="250">
        <f>JULIO!A38+JULIO!A39+JULIO!A40+JULIO!A41+AGOSTO!A38+SEPTIEMBRE!A36</f>
        <v>3</v>
      </c>
      <c r="B39" s="95" t="s">
        <v>30</v>
      </c>
      <c r="C39" s="220" t="s">
        <v>255</v>
      </c>
      <c r="D39" s="50" t="s">
        <v>29</v>
      </c>
      <c r="E39" s="84" t="s">
        <v>246</v>
      </c>
      <c r="F39" s="50" t="s">
        <v>123</v>
      </c>
      <c r="G39" s="49">
        <f>JULIO!G38+JULIO!G39+JULIO!G40+JULIO!G41+AGOSTO!G38+SEPTIEMBRE!G36</f>
        <v>56</v>
      </c>
      <c r="H39" s="49">
        <f>JULIO!H38+JULIO!H39+JULIO!H40+JULIO!H41+AGOSTO!H38+SEPTIEMBRE!H36</f>
        <v>2</v>
      </c>
      <c r="I39" s="49">
        <f>JULIO!I38+JULIO!I39+JULIO!I40+JULIO!I41+AGOSTO!I38+SEPTIEMBRE!I36</f>
        <v>56</v>
      </c>
      <c r="J39" s="49">
        <f>JULIO!J38+JULIO!J39+JULIO!J40+JULIO!J41+AGOSTO!J38+SEPTIEMBRE!J36</f>
        <v>650000</v>
      </c>
      <c r="K39" s="49">
        <f>JULIO!K38+JULIO!K39+JULIO!K40+JULIO!K41+AGOSTO!K38+SEPTIEMBRE!K36</f>
        <v>16820</v>
      </c>
      <c r="L39" s="49">
        <f>JULIO!L38+JULIO!L39+JULIO!L40+JULIO!L41+AGOSTO!L38+SEPTIEMBRE!L36</f>
        <v>61525</v>
      </c>
      <c r="M39" s="49">
        <f>JULIO!M38+JULIO!M39+JULIO!M40+JULIO!M41+AGOSTO!M38+SEPTIEMBRE!M36</f>
        <v>89915.55</v>
      </c>
      <c r="N39" s="49">
        <f>JULIO!N38+JULIO!N39+JULIO!N40+JULIO!N41+AGOSTO!N38+SEPTIEMBRE!N36</f>
        <v>33630.240000000005</v>
      </c>
      <c r="O39" s="249">
        <f t="shared" si="2"/>
        <v>123545.79000000001</v>
      </c>
      <c r="P39" s="7"/>
    </row>
    <row r="40" spans="1:19" ht="71.25" customHeight="1" x14ac:dyDescent="0.25">
      <c r="A40" s="250">
        <f>AGOSTO!A37+SEPTIEMBRE!A33</f>
        <v>2</v>
      </c>
      <c r="B40" s="50" t="s">
        <v>103</v>
      </c>
      <c r="C40" s="220" t="s">
        <v>252</v>
      </c>
      <c r="D40" s="50" t="s">
        <v>29</v>
      </c>
      <c r="E40" s="84" t="s">
        <v>246</v>
      </c>
      <c r="F40" s="50" t="s">
        <v>102</v>
      </c>
      <c r="G40" s="49">
        <f>AGOSTO!G37+SEPTIEMBRE!G33</f>
        <v>32</v>
      </c>
      <c r="H40" s="49">
        <f>AGOSTO!H37+SEPTIEMBRE!H33</f>
        <v>27</v>
      </c>
      <c r="I40" s="49">
        <f>AGOSTO!I37+SEPTIEMBRE!I33</f>
        <v>2</v>
      </c>
      <c r="J40" s="49">
        <f>AGOSTO!J37+SEPTIEMBRE!J33</f>
        <v>0</v>
      </c>
      <c r="K40" s="49">
        <f>AGOSTO!K37+SEPTIEMBRE!K33</f>
        <v>4680</v>
      </c>
      <c r="L40" s="49">
        <f>AGOSTO!L37+SEPTIEMBRE!L33</f>
        <v>21365</v>
      </c>
      <c r="M40" s="49">
        <f>AGOSTO!M37+SEPTIEMBRE!M33</f>
        <v>13117.65</v>
      </c>
      <c r="N40" s="49">
        <f>AGOSTO!N37+SEPTIEMBRE!N33</f>
        <v>33600</v>
      </c>
      <c r="O40" s="249">
        <f t="shared" si="2"/>
        <v>46717.65</v>
      </c>
      <c r="P40" s="7"/>
    </row>
    <row r="41" spans="1:19" ht="72" hidden="1" customHeight="1" x14ac:dyDescent="0.25">
      <c r="A41" s="252"/>
      <c r="B41" s="50" t="s">
        <v>93</v>
      </c>
      <c r="C41" s="435"/>
      <c r="D41" s="50" t="s">
        <v>29</v>
      </c>
      <c r="E41" s="84" t="s">
        <v>246</v>
      </c>
      <c r="F41" s="50"/>
      <c r="G41" s="439"/>
      <c r="H41" s="439"/>
      <c r="I41" s="439"/>
      <c r="J41" s="439"/>
      <c r="K41" s="439"/>
      <c r="L41" s="439"/>
      <c r="M41" s="439"/>
      <c r="N41" s="439"/>
      <c r="O41" s="249">
        <f t="shared" si="2"/>
        <v>0</v>
      </c>
      <c r="P41" s="7"/>
    </row>
    <row r="42" spans="1:19" ht="81" customHeight="1" thickBot="1" x14ac:dyDescent="0.3">
      <c r="A42" s="252">
        <f>AGOSTO!A44</f>
        <v>1</v>
      </c>
      <c r="B42" s="95" t="s">
        <v>116</v>
      </c>
      <c r="C42" s="220" t="s">
        <v>186</v>
      </c>
      <c r="D42" s="50" t="s">
        <v>29</v>
      </c>
      <c r="E42" s="84" t="s">
        <v>246</v>
      </c>
      <c r="F42" s="50" t="s">
        <v>248</v>
      </c>
      <c r="G42" s="438">
        <f>AGOSTO!G44</f>
        <v>24</v>
      </c>
      <c r="H42" s="439">
        <f>AGOSTO!H44</f>
        <v>0</v>
      </c>
      <c r="I42" s="439">
        <f>AGOSTO!I44</f>
        <v>0</v>
      </c>
      <c r="J42" s="439">
        <f>AGOSTO!J44</f>
        <v>0</v>
      </c>
      <c r="K42" s="439">
        <f>AGOSTO!K44</f>
        <v>5100</v>
      </c>
      <c r="L42" s="439">
        <f>AGOSTO!L44</f>
        <v>11650</v>
      </c>
      <c r="M42" s="439">
        <f>AGOSTO!M44</f>
        <v>32688</v>
      </c>
      <c r="N42" s="439">
        <f>AGOSTO!N44</f>
        <v>0</v>
      </c>
      <c r="O42" s="249">
        <f>SUM(M42:N42)</f>
        <v>32688</v>
      </c>
      <c r="P42" s="7"/>
    </row>
    <row r="43" spans="1:19" ht="40.5" hidden="1" customHeight="1" x14ac:dyDescent="0.25">
      <c r="A43" s="252"/>
      <c r="B43" s="50"/>
      <c r="C43" s="434" t="s">
        <v>136</v>
      </c>
      <c r="D43" s="50" t="s">
        <v>29</v>
      </c>
      <c r="E43" s="84" t="s">
        <v>246</v>
      </c>
      <c r="F43" s="50" t="s">
        <v>134</v>
      </c>
      <c r="G43" s="51"/>
      <c r="H43" s="51"/>
      <c r="I43" s="281"/>
      <c r="J43" s="281"/>
      <c r="K43" s="281"/>
      <c r="L43" s="281"/>
      <c r="M43" s="281">
        <f>SEPTIEMBRE!M39</f>
        <v>0</v>
      </c>
      <c r="N43" s="281"/>
      <c r="O43" s="280">
        <f t="shared" ref="O43" si="3">SUM(M43:N43)</f>
        <v>0</v>
      </c>
      <c r="P43" s="19"/>
      <c r="Q43" s="19"/>
      <c r="R43" s="19"/>
      <c r="S43" s="19"/>
    </row>
    <row r="44" spans="1:19" ht="29.25" hidden="1" thickBot="1" x14ac:dyDescent="0.3">
      <c r="A44" s="440">
        <v>0</v>
      </c>
      <c r="B44" s="177"/>
      <c r="C44" s="273"/>
      <c r="D44" s="177" t="s">
        <v>29</v>
      </c>
      <c r="E44" s="177" t="s">
        <v>100</v>
      </c>
      <c r="F44" s="274"/>
      <c r="G44" s="275"/>
      <c r="H44" s="275"/>
      <c r="I44" s="282"/>
      <c r="J44" s="282"/>
      <c r="K44" s="282"/>
      <c r="L44" s="282"/>
      <c r="M44" s="282"/>
      <c r="N44" s="282"/>
      <c r="O44" s="283">
        <f>SUM(M44:N44)</f>
        <v>0</v>
      </c>
      <c r="P44" s="19"/>
      <c r="Q44" s="256"/>
    </row>
    <row r="45" spans="1:19" ht="15.75" thickBot="1" x14ac:dyDescent="0.3">
      <c r="A45" s="154">
        <f>SUM(A34:A44)</f>
        <v>12</v>
      </c>
      <c r="B45" s="899" t="s">
        <v>24</v>
      </c>
      <c r="C45" s="900"/>
      <c r="D45" s="900"/>
      <c r="E45" s="900"/>
      <c r="F45" s="901"/>
      <c r="G45" s="238">
        <f t="shared" ref="G45:O45" si="4">SUM(G34:G44)</f>
        <v>232</v>
      </c>
      <c r="H45" s="441">
        <f t="shared" si="4"/>
        <v>29</v>
      </c>
      <c r="I45" s="442">
        <f t="shared" si="4"/>
        <v>58</v>
      </c>
      <c r="J45" s="443">
        <f t="shared" si="4"/>
        <v>2370000</v>
      </c>
      <c r="K45" s="442">
        <f t="shared" si="4"/>
        <v>58000</v>
      </c>
      <c r="L45" s="442">
        <f t="shared" si="4"/>
        <v>239300</v>
      </c>
      <c r="M45" s="442">
        <f t="shared" si="4"/>
        <v>159935.85999999999</v>
      </c>
      <c r="N45" s="442">
        <f t="shared" si="4"/>
        <v>132846.07</v>
      </c>
      <c r="O45" s="444">
        <f t="shared" si="4"/>
        <v>292781.93000000005</v>
      </c>
      <c r="P45" s="7"/>
      <c r="Q45" s="7"/>
    </row>
    <row r="46" spans="1:19" ht="15.75" thickBot="1" x14ac:dyDescent="0.3">
      <c r="A46" s="902" t="s">
        <v>25</v>
      </c>
      <c r="B46" s="903"/>
      <c r="C46" s="903"/>
      <c r="D46" s="903"/>
      <c r="E46" s="903"/>
      <c r="F46" s="903"/>
      <c r="G46" s="904"/>
      <c r="H46" s="236"/>
      <c r="I46" s="284"/>
      <c r="J46" s="285"/>
      <c r="K46" s="237"/>
      <c r="L46" s="237"/>
      <c r="M46" s="237">
        <v>0</v>
      </c>
      <c r="N46" s="237">
        <f>0.1*-N45</f>
        <v>-13284.607000000002</v>
      </c>
      <c r="O46" s="235">
        <f>SUM(N46:N46)</f>
        <v>-13284.607000000002</v>
      </c>
    </row>
    <row r="47" spans="1:19" ht="21.75" thickBot="1" x14ac:dyDescent="0.4">
      <c r="A47" s="713" t="s">
        <v>31</v>
      </c>
      <c r="B47" s="714"/>
      <c r="C47" s="714"/>
      <c r="D47" s="714"/>
      <c r="E47" s="714"/>
      <c r="F47" s="714"/>
      <c r="G47" s="715"/>
      <c r="H47" s="57"/>
      <c r="I47" s="286"/>
      <c r="J47" s="55"/>
      <c r="K47" s="55"/>
      <c r="L47" s="55"/>
      <c r="M47" s="55">
        <f>SUM(M45:M46)</f>
        <v>159935.85999999999</v>
      </c>
      <c r="N47" s="58">
        <f>+N45+N46</f>
        <v>119561.463</v>
      </c>
      <c r="O47" s="234">
        <f>+O45+O46</f>
        <v>279497.32300000003</v>
      </c>
      <c r="P47" s="7"/>
      <c r="Q47" s="674"/>
      <c r="R47" s="256"/>
    </row>
    <row r="48" spans="1:19" x14ac:dyDescent="0.25">
      <c r="A48" s="14"/>
      <c r="B48" s="14"/>
      <c r="C48" s="14"/>
      <c r="D48" s="14"/>
      <c r="E48" s="14"/>
      <c r="F48" s="14"/>
      <c r="G48" s="14"/>
      <c r="H48" s="15"/>
      <c r="I48" s="15"/>
      <c r="J48" s="16"/>
      <c r="K48" s="16"/>
      <c r="L48" s="16"/>
      <c r="M48" s="16"/>
      <c r="N48" s="16"/>
      <c r="O48" s="17"/>
    </row>
    <row r="49" spans="1:18" ht="15.75" customHeight="1" thickBot="1" x14ac:dyDescent="0.3">
      <c r="A49" s="711" t="s">
        <v>32</v>
      </c>
      <c r="B49" s="711"/>
      <c r="C49" s="711"/>
      <c r="D49" s="711"/>
      <c r="E49" s="711"/>
      <c r="F49" s="711"/>
      <c r="G49" s="711"/>
      <c r="H49" s="711"/>
      <c r="I49" s="711"/>
      <c r="J49" s="711"/>
      <c r="K49" s="711"/>
      <c r="L49" s="711"/>
      <c r="M49" s="711"/>
      <c r="N49" s="20"/>
      <c r="O49" s="20"/>
    </row>
    <row r="50" spans="1:18" ht="23.25" customHeight="1" thickBot="1" x14ac:dyDescent="0.3">
      <c r="A50" s="699" t="s">
        <v>6</v>
      </c>
      <c r="B50" s="702" t="s">
        <v>7</v>
      </c>
      <c r="C50" s="703"/>
      <c r="D50" s="689" t="s">
        <v>8</v>
      </c>
      <c r="E50" s="689" t="s">
        <v>9</v>
      </c>
      <c r="F50" s="689" t="s">
        <v>10</v>
      </c>
      <c r="G50" s="689" t="s">
        <v>28</v>
      </c>
      <c r="H50" s="702" t="s">
        <v>12</v>
      </c>
      <c r="I50" s="703"/>
      <c r="J50" s="689" t="s">
        <v>60</v>
      </c>
      <c r="K50" s="79"/>
      <c r="L50" s="79"/>
      <c r="M50" s="689" t="s">
        <v>13</v>
      </c>
      <c r="N50" s="689" t="s">
        <v>14</v>
      </c>
      <c r="O50" s="691" t="s">
        <v>15</v>
      </c>
    </row>
    <row r="51" spans="1:18" ht="2.25" customHeight="1" thickBot="1" x14ac:dyDescent="0.3">
      <c r="A51" s="700"/>
      <c r="B51" s="704"/>
      <c r="C51" s="705"/>
      <c r="D51" s="706"/>
      <c r="E51" s="706"/>
      <c r="F51" s="706"/>
      <c r="G51" s="706"/>
      <c r="H51" s="689" t="s">
        <v>20</v>
      </c>
      <c r="I51" s="689" t="s">
        <v>17</v>
      </c>
      <c r="J51" s="707"/>
      <c r="K51" s="82"/>
      <c r="L51" s="82"/>
      <c r="M51" s="707"/>
      <c r="N51" s="690"/>
      <c r="O51" s="692"/>
    </row>
    <row r="52" spans="1:18" ht="28.5" customHeight="1" x14ac:dyDescent="0.25">
      <c r="A52" s="701"/>
      <c r="B52" s="79" t="s">
        <v>18</v>
      </c>
      <c r="C52" s="81" t="s">
        <v>19</v>
      </c>
      <c r="D52" s="706"/>
      <c r="E52" s="706"/>
      <c r="F52" s="706"/>
      <c r="G52" s="706"/>
      <c r="H52" s="690"/>
      <c r="I52" s="690"/>
      <c r="J52" s="707"/>
      <c r="K52" s="80" t="s">
        <v>21</v>
      </c>
      <c r="L52" s="80" t="s">
        <v>22</v>
      </c>
      <c r="M52" s="707"/>
      <c r="N52" s="690"/>
      <c r="O52" s="693"/>
    </row>
    <row r="53" spans="1:18" ht="69.75" customHeight="1" x14ac:dyDescent="0.25">
      <c r="A53" s="269">
        <f>JULIO!A52+JULIO!A53+AGOSTO!A56+AGOSTO!A53</f>
        <v>4</v>
      </c>
      <c r="B53" s="91"/>
      <c r="C53" s="313" t="s">
        <v>210</v>
      </c>
      <c r="D53" s="49" t="s">
        <v>33</v>
      </c>
      <c r="E53" s="84" t="s">
        <v>246</v>
      </c>
      <c r="F53" s="91" t="s">
        <v>59</v>
      </c>
      <c r="G53" s="270">
        <f>JULIO!G52+JULIO!G53+AGOSTO!G53+AGOSTO!G56</f>
        <v>72</v>
      </c>
      <c r="H53" s="270">
        <f>JULIO!H52+JULIO!H53+AGOSTO!H53+AGOSTO!H56</f>
        <v>0</v>
      </c>
      <c r="I53" s="270">
        <f>JULIO!I52+JULIO!I53+AGOSTO!I53+AGOSTO!I56</f>
        <v>0</v>
      </c>
      <c r="J53" s="270">
        <f>JULIO!J52+JULIO!J53+AGOSTO!J53+AGOSTO!J56</f>
        <v>0</v>
      </c>
      <c r="K53" s="270">
        <f>JULIO!K52+JULIO!K53+AGOSTO!K53+AGOSTO!K56</f>
        <v>18400</v>
      </c>
      <c r="L53" s="270">
        <f>JULIO!L52+JULIO!L53+AGOSTO!L53+AGOSTO!L56</f>
        <v>32750</v>
      </c>
      <c r="M53" s="270">
        <f>JULIO!M52+JULIO!M53+AGOSTO!M53+AGOSTO!M56</f>
        <v>0</v>
      </c>
      <c r="N53" s="270">
        <f>JULIO!N52+JULIO!N53+AGOSTO!N53+AGOSTO!N56</f>
        <v>0</v>
      </c>
      <c r="O53" s="271">
        <f>M53+N53</f>
        <v>0</v>
      </c>
      <c r="P53" s="7"/>
    </row>
    <row r="54" spans="1:18" ht="41.25" hidden="1" customHeight="1" x14ac:dyDescent="0.25">
      <c r="A54" s="269"/>
      <c r="B54" s="91" t="s">
        <v>58</v>
      </c>
      <c r="C54" s="436" t="s">
        <v>137</v>
      </c>
      <c r="D54" s="49" t="s">
        <v>33</v>
      </c>
      <c r="E54" s="84" t="s">
        <v>246</v>
      </c>
      <c r="F54" s="91" t="s">
        <v>59</v>
      </c>
      <c r="G54" s="270"/>
      <c r="H54" s="270"/>
      <c r="I54" s="270"/>
      <c r="J54" s="270"/>
      <c r="K54" s="270"/>
      <c r="L54" s="270"/>
      <c r="M54" s="272">
        <f>JULIO!M52+AGOSTO!M55+SEPTIEMBRE!M53</f>
        <v>44385.65</v>
      </c>
      <c r="N54" s="270"/>
      <c r="O54" s="271"/>
      <c r="P54" s="7"/>
    </row>
    <row r="55" spans="1:18" ht="93" customHeight="1" x14ac:dyDescent="0.25">
      <c r="A55" s="269">
        <f>JULIO!A51+AGOSTO!A54+AGOSTO!A55+SEPTIEMBRE!A48+SEPTIEMBRE!A49</f>
        <v>5</v>
      </c>
      <c r="B55" s="91" t="s">
        <v>58</v>
      </c>
      <c r="C55" s="92" t="s">
        <v>253</v>
      </c>
      <c r="D55" s="49" t="s">
        <v>33</v>
      </c>
      <c r="E55" s="84" t="s">
        <v>246</v>
      </c>
      <c r="F55" s="91" t="s">
        <v>59</v>
      </c>
      <c r="G55" s="94">
        <f>JULIO!G51+AGOSTO!G54+AGOSTO!G55+SEPTIEMBRE!G48+SEPTIEMBRE!G49</f>
        <v>48</v>
      </c>
      <c r="H55" s="94">
        <f>JULIO!H51+AGOSTO!H54+AGOSTO!H55+SEPTIEMBRE!H48+SEPTIEMBRE!H49</f>
        <v>0</v>
      </c>
      <c r="I55" s="94">
        <f>JULIO!I51+AGOSTO!I54+AGOSTO!I55+SEPTIEMBRE!I48+SEPTIEMBRE!I49</f>
        <v>0</v>
      </c>
      <c r="J55" s="94">
        <f>JULIO!J51+AGOSTO!J54+AGOSTO!J55+SEPTIEMBRE!J48+SEPTIEMBRE!J49</f>
        <v>1110000</v>
      </c>
      <c r="K55" s="94">
        <f>JULIO!K51+AGOSTO!K54+AGOSTO!K55+SEPTIEMBRE!K48+SEPTIEMBRE!K49</f>
        <v>14500</v>
      </c>
      <c r="L55" s="94">
        <f>JULIO!L51+AGOSTO!L54+AGOSTO!L55+SEPTIEMBRE!L48+SEPTIEMBRE!L49</f>
        <v>19500</v>
      </c>
      <c r="M55" s="94">
        <f>JULIO!M51+AGOSTO!M54+AGOSTO!M55+SEPTIEMBRE!M48+SEPTIEMBRE!M49</f>
        <v>231017.69</v>
      </c>
      <c r="N55" s="94">
        <f>JULIO!N51+AGOSTO!N54+AGOSTO!N55+SEPTIEMBRE!N48+SEPTIEMBRE!N49</f>
        <v>96080.639999999999</v>
      </c>
      <c r="O55" s="271">
        <f>M55+N55</f>
        <v>327098.33</v>
      </c>
    </row>
    <row r="56" spans="1:18" ht="13.5" customHeight="1" x14ac:dyDescent="0.25">
      <c r="A56" s="231">
        <f>SUM(A53:A55)</f>
        <v>9</v>
      </c>
      <c r="B56" s="216"/>
      <c r="C56" s="203"/>
      <c r="D56" s="216"/>
      <c r="E56" s="203"/>
      <c r="F56" s="216"/>
      <c r="G56" s="266">
        <f t="shared" ref="G56:N56" si="5">SUM(G53:G55)</f>
        <v>120</v>
      </c>
      <c r="H56" s="267">
        <f t="shared" si="5"/>
        <v>0</v>
      </c>
      <c r="I56" s="267">
        <f t="shared" si="5"/>
        <v>0</v>
      </c>
      <c r="J56" s="267">
        <f t="shared" si="5"/>
        <v>1110000</v>
      </c>
      <c r="K56" s="267">
        <f t="shared" si="5"/>
        <v>32900</v>
      </c>
      <c r="L56" s="267">
        <f t="shared" si="5"/>
        <v>52250</v>
      </c>
      <c r="M56" s="267">
        <f t="shared" si="5"/>
        <v>275403.34000000003</v>
      </c>
      <c r="N56" s="267">
        <f t="shared" si="5"/>
        <v>96080.639999999999</v>
      </c>
      <c r="O56" s="268">
        <f>SUM(O53:O55)</f>
        <v>327098.33</v>
      </c>
      <c r="Q56" s="257"/>
    </row>
    <row r="57" spans="1:18" ht="13.5" customHeight="1" x14ac:dyDescent="0.25">
      <c r="A57" s="709" t="s">
        <v>25</v>
      </c>
      <c r="B57" s="710"/>
      <c r="C57" s="710"/>
      <c r="D57" s="710"/>
      <c r="E57" s="710"/>
      <c r="F57" s="710"/>
      <c r="G57" s="710"/>
      <c r="H57" s="98"/>
      <c r="I57" s="98"/>
      <c r="J57" s="99"/>
      <c r="K57" s="100"/>
      <c r="L57" s="100"/>
      <c r="M57" s="61">
        <v>0</v>
      </c>
      <c r="N57" s="61">
        <f>-0.1*N56</f>
        <v>-9608.0640000000003</v>
      </c>
      <c r="O57" s="87">
        <f>SUM(N57:N57)</f>
        <v>-9608.0640000000003</v>
      </c>
      <c r="P57" s="149"/>
      <c r="Q57" s="7"/>
    </row>
    <row r="58" spans="1:18" ht="18" customHeight="1" thickBot="1" x14ac:dyDescent="0.3">
      <c r="A58" s="713" t="s">
        <v>31</v>
      </c>
      <c r="B58" s="714"/>
      <c r="C58" s="714"/>
      <c r="D58" s="714"/>
      <c r="E58" s="714"/>
      <c r="F58" s="714"/>
      <c r="G58" s="715"/>
      <c r="H58" s="88"/>
      <c r="I58" s="88"/>
      <c r="J58" s="89"/>
      <c r="K58" s="90"/>
      <c r="L58" s="90"/>
      <c r="M58" s="55">
        <f>SUM(M56:M57)</f>
        <v>275403.34000000003</v>
      </c>
      <c r="N58" s="58">
        <f>+N56+N57</f>
        <v>86472.576000000001</v>
      </c>
      <c r="O58" s="58">
        <f>+O56+O57</f>
        <v>317490.266</v>
      </c>
      <c r="P58" s="7"/>
      <c r="Q58" s="256"/>
      <c r="R58" s="7"/>
    </row>
    <row r="59" spans="1:18" ht="14.25" customHeight="1" x14ac:dyDescent="0.25">
      <c r="A59" s="21"/>
      <c r="B59" s="21"/>
      <c r="C59" s="21"/>
      <c r="D59" s="21"/>
      <c r="E59" s="21"/>
      <c r="F59" s="21"/>
      <c r="G59" s="21"/>
      <c r="H59" s="15"/>
      <c r="I59" s="15"/>
      <c r="J59" s="16"/>
      <c r="K59" s="16"/>
      <c r="L59" s="16"/>
      <c r="M59" s="22"/>
      <c r="N59" s="22"/>
      <c r="O59" s="22"/>
      <c r="P59" s="7"/>
    </row>
    <row r="60" spans="1:18" x14ac:dyDescent="0.25">
      <c r="A60" s="21"/>
      <c r="B60" s="21"/>
      <c r="C60" s="21"/>
      <c r="D60" s="21"/>
      <c r="E60" s="21"/>
      <c r="F60" s="21"/>
      <c r="G60" s="21"/>
      <c r="H60" s="23"/>
      <c r="I60" s="23"/>
      <c r="J60" s="22"/>
      <c r="K60" s="22"/>
      <c r="L60" s="22"/>
      <c r="M60" s="22"/>
      <c r="N60" s="22"/>
      <c r="O60" s="24"/>
    </row>
    <row r="61" spans="1:18" ht="15.75" thickBot="1" x14ac:dyDescent="0.3">
      <c r="A61" s="698" t="s">
        <v>34</v>
      </c>
      <c r="B61" s="698"/>
      <c r="C61" s="698"/>
      <c r="D61" s="698"/>
      <c r="E61" s="698"/>
      <c r="F61" s="698"/>
      <c r="G61" s="698"/>
      <c r="H61" s="698"/>
      <c r="I61" s="698"/>
      <c r="J61" s="698"/>
      <c r="K61" s="698"/>
      <c r="L61" s="698"/>
      <c r="M61" s="698"/>
      <c r="N61" s="698"/>
      <c r="O61" s="698"/>
    </row>
    <row r="62" spans="1:18" ht="24.75" customHeight="1" thickBot="1" x14ac:dyDescent="0.3">
      <c r="A62" s="699" t="s">
        <v>6</v>
      </c>
      <c r="B62" s="702" t="s">
        <v>7</v>
      </c>
      <c r="C62" s="703"/>
      <c r="D62" s="689" t="s">
        <v>8</v>
      </c>
      <c r="E62" s="689" t="s">
        <v>9</v>
      </c>
      <c r="F62" s="689" t="s">
        <v>10</v>
      </c>
      <c r="G62" s="689" t="s">
        <v>35</v>
      </c>
      <c r="H62" s="702" t="s">
        <v>12</v>
      </c>
      <c r="I62" s="703"/>
      <c r="J62" s="689" t="s">
        <v>60</v>
      </c>
      <c r="K62" s="79"/>
      <c r="L62" s="79"/>
      <c r="M62" s="689" t="s">
        <v>13</v>
      </c>
      <c r="N62" s="689" t="s">
        <v>14</v>
      </c>
      <c r="O62" s="691" t="s">
        <v>36</v>
      </c>
    </row>
    <row r="63" spans="1:18" ht="15.75" thickBot="1" x14ac:dyDescent="0.3">
      <c r="A63" s="700"/>
      <c r="B63" s="704"/>
      <c r="C63" s="705"/>
      <c r="D63" s="690"/>
      <c r="E63" s="690"/>
      <c r="F63" s="690"/>
      <c r="G63" s="706"/>
      <c r="H63" s="689" t="s">
        <v>20</v>
      </c>
      <c r="I63" s="689" t="s">
        <v>17</v>
      </c>
      <c r="J63" s="707"/>
      <c r="K63" s="82"/>
      <c r="L63" s="82"/>
      <c r="M63" s="707"/>
      <c r="N63" s="690"/>
      <c r="O63" s="692"/>
    </row>
    <row r="64" spans="1:18" ht="37.5" customHeight="1" x14ac:dyDescent="0.25">
      <c r="A64" s="701"/>
      <c r="B64" s="79" t="s">
        <v>18</v>
      </c>
      <c r="C64" s="81" t="s">
        <v>19</v>
      </c>
      <c r="D64" s="690"/>
      <c r="E64" s="690"/>
      <c r="F64" s="690"/>
      <c r="G64" s="706"/>
      <c r="H64" s="690"/>
      <c r="I64" s="690"/>
      <c r="J64" s="707"/>
      <c r="K64" s="80" t="s">
        <v>21</v>
      </c>
      <c r="L64" s="80" t="s">
        <v>22</v>
      </c>
      <c r="M64" s="707"/>
      <c r="N64" s="690"/>
      <c r="O64" s="693"/>
    </row>
    <row r="65" spans="1:21" ht="42.75" hidden="1" x14ac:dyDescent="0.25">
      <c r="A65" s="217">
        <f>SEPTIEMBRE!A64</f>
        <v>0</v>
      </c>
      <c r="B65" s="50" t="s">
        <v>69</v>
      </c>
      <c r="C65" s="50" t="s">
        <v>72</v>
      </c>
      <c r="D65" s="50" t="s">
        <v>37</v>
      </c>
      <c r="E65" s="84" t="s">
        <v>246</v>
      </c>
      <c r="F65" s="50" t="s">
        <v>39</v>
      </c>
      <c r="G65" s="264"/>
      <c r="H65" s="264"/>
      <c r="I65" s="264"/>
      <c r="J65" s="264"/>
      <c r="K65" s="264"/>
      <c r="L65" s="264"/>
      <c r="M65" s="264"/>
      <c r="N65" s="264"/>
      <c r="O65" s="265">
        <f>SUM(M65:N65)</f>
        <v>0</v>
      </c>
      <c r="P65" s="7"/>
    </row>
    <row r="66" spans="1:21" ht="112.5" customHeight="1" thickBot="1" x14ac:dyDescent="0.3">
      <c r="A66" s="671">
        <f>JULIO!A66+AGOSTO!A66+SEPTIEMBRE!A63</f>
        <v>3</v>
      </c>
      <c r="B66" s="50" t="s">
        <v>30</v>
      </c>
      <c r="C66" s="206" t="s">
        <v>254</v>
      </c>
      <c r="D66" s="50" t="s">
        <v>37</v>
      </c>
      <c r="E66" s="84" t="s">
        <v>246</v>
      </c>
      <c r="F66" s="50" t="s">
        <v>40</v>
      </c>
      <c r="G66" s="52">
        <f>JULIO!G66+AGOSTO!G66+SEPTIEMBRE!G63</f>
        <v>40</v>
      </c>
      <c r="H66" s="52">
        <f>JULIO!H66+AGOSTO!H66+SEPTIEMBRE!H63</f>
        <v>0</v>
      </c>
      <c r="I66" s="52">
        <f>JULIO!I66+AGOSTO!I66+SEPTIEMBRE!I63</f>
        <v>0</v>
      </c>
      <c r="J66" s="52">
        <f>JULIO!J66+AGOSTO!J66+SEPTIEMBRE!J63</f>
        <v>550000</v>
      </c>
      <c r="K66" s="52">
        <f>JULIO!K66+AGOSTO!K66+SEPTIEMBRE!K63</f>
        <v>10600</v>
      </c>
      <c r="L66" s="52">
        <f>JULIO!L66+AGOSTO!L66+SEPTIEMBRE!L63</f>
        <v>30304.09</v>
      </c>
      <c r="M66" s="52">
        <f>JULIO!M66+AGOSTO!M66+SEPTIEMBRE!M63</f>
        <v>1822.73</v>
      </c>
      <c r="N66" s="52">
        <f>JULIO!N66+AGOSTO!N66+SEPTIEMBRE!N63</f>
        <v>58045.240000000005</v>
      </c>
      <c r="O66" s="265">
        <f>SUM(M66:N66)</f>
        <v>59867.970000000008</v>
      </c>
      <c r="P66" s="7"/>
      <c r="Q66" s="19"/>
    </row>
    <row r="67" spans="1:21" ht="91.5" hidden="1" customHeight="1" thickBot="1" x14ac:dyDescent="0.3">
      <c r="A67" s="215">
        <f>JULIO!A65+AGOSTO!A68+SEPTIEMBRE!A66</f>
        <v>0</v>
      </c>
      <c r="B67" s="216" t="s">
        <v>78</v>
      </c>
      <c r="C67" s="216" t="s">
        <v>77</v>
      </c>
      <c r="D67" s="216" t="s">
        <v>37</v>
      </c>
      <c r="E67" s="254" t="s">
        <v>130</v>
      </c>
      <c r="F67" s="216" t="s">
        <v>74</v>
      </c>
      <c r="G67" s="258">
        <f>JULIO!G65+AGOSTO!G68+SEPTIEMBRE!G66</f>
        <v>0</v>
      </c>
      <c r="H67" s="259">
        <f>JULIO!H65+AGOSTO!H68+SEPTIEMBRE!H66</f>
        <v>0</v>
      </c>
      <c r="I67" s="259">
        <f>JULIO!I65+AGOSTO!I68+SEPTIEMBRE!I66</f>
        <v>0</v>
      </c>
      <c r="J67" s="260">
        <v>370000</v>
      </c>
      <c r="K67" s="261">
        <f>JULIO!K65+AGOSTO!K68+SEPTIEMBRE!K66</f>
        <v>0</v>
      </c>
      <c r="L67" s="262">
        <f>JULIO!L65+AGOSTO!L68+SEPTIEMBRE!L66</f>
        <v>0</v>
      </c>
      <c r="M67" s="263">
        <f>JULIO!M65+AGOSTO!M68+SEPTIEMBRE!M66</f>
        <v>0</v>
      </c>
      <c r="N67" s="261">
        <f>JULIO!N65+AGOSTO!N68+SEPTIEMBRE!N66</f>
        <v>0</v>
      </c>
      <c r="O67" s="246">
        <f t="shared" ref="O67:O68" si="6">SUM(M67:N67)</f>
        <v>0</v>
      </c>
      <c r="P67" s="7"/>
    </row>
    <row r="68" spans="1:21" ht="93.75" hidden="1" customHeight="1" thickBot="1" x14ac:dyDescent="0.3">
      <c r="A68" s="101"/>
      <c r="B68" s="50" t="s">
        <v>30</v>
      </c>
      <c r="C68" s="50" t="s">
        <v>75</v>
      </c>
      <c r="D68" s="50" t="s">
        <v>37</v>
      </c>
      <c r="E68" s="242" t="s">
        <v>130</v>
      </c>
      <c r="F68" s="232" t="s">
        <v>40</v>
      </c>
      <c r="G68" s="245"/>
      <c r="H68" s="241"/>
      <c r="I68" s="241"/>
      <c r="J68" s="233"/>
      <c r="K68" s="233"/>
      <c r="L68" s="244"/>
      <c r="M68" s="243"/>
      <c r="N68" s="233"/>
      <c r="O68" s="240">
        <f t="shared" si="6"/>
        <v>0</v>
      </c>
      <c r="P68" s="7"/>
    </row>
    <row r="69" spans="1:21" ht="18.75" customHeight="1" thickBot="1" x14ac:dyDescent="0.3">
      <c r="A69" s="65">
        <f>SUM(A65:A68)</f>
        <v>3</v>
      </c>
      <c r="B69" s="694" t="s">
        <v>24</v>
      </c>
      <c r="C69" s="694"/>
      <c r="D69" s="694"/>
      <c r="E69" s="694"/>
      <c r="F69" s="694"/>
      <c r="G69" s="102">
        <f t="shared" ref="G69:J69" si="7">SUM(G65:G68)</f>
        <v>40</v>
      </c>
      <c r="H69" s="102">
        <f t="shared" si="7"/>
        <v>0</v>
      </c>
      <c r="I69" s="102">
        <f t="shared" si="7"/>
        <v>0</v>
      </c>
      <c r="J69" s="102">
        <f t="shared" si="7"/>
        <v>920000</v>
      </c>
      <c r="K69" s="102">
        <f>SUM(K65:K68)</f>
        <v>10600</v>
      </c>
      <c r="L69" s="102">
        <f t="shared" ref="L69:O69" si="8">SUM(L65:L68)</f>
        <v>30304.09</v>
      </c>
      <c r="M69" s="102">
        <f t="shared" si="8"/>
        <v>1822.73</v>
      </c>
      <c r="N69" s="102">
        <f t="shared" si="8"/>
        <v>58045.240000000005</v>
      </c>
      <c r="O69" s="102">
        <f t="shared" si="8"/>
        <v>59867.970000000008</v>
      </c>
      <c r="P69" s="7"/>
      <c r="Q69" s="19"/>
      <c r="R69" s="7"/>
    </row>
    <row r="70" spans="1:21" ht="15" customHeight="1" thickBot="1" x14ac:dyDescent="0.3">
      <c r="A70" s="695" t="s">
        <v>25</v>
      </c>
      <c r="B70" s="696"/>
      <c r="C70" s="696"/>
      <c r="D70" s="696"/>
      <c r="E70" s="696"/>
      <c r="F70" s="696"/>
      <c r="G70" s="696"/>
      <c r="H70" s="25"/>
      <c r="I70" s="25"/>
      <c r="J70" s="26"/>
      <c r="K70" s="26"/>
      <c r="L70" s="26"/>
      <c r="M70" s="27">
        <v>0</v>
      </c>
      <c r="N70" s="27">
        <f>N69*-0.1</f>
        <v>-5804.5240000000013</v>
      </c>
      <c r="O70" s="181">
        <f>N70</f>
        <v>-5804.5240000000013</v>
      </c>
    </row>
    <row r="71" spans="1:21" ht="17.25" customHeight="1" thickBot="1" x14ac:dyDescent="0.3">
      <c r="A71" s="697" t="s">
        <v>26</v>
      </c>
      <c r="B71" s="697"/>
      <c r="C71" s="697"/>
      <c r="D71" s="697"/>
      <c r="E71" s="697"/>
      <c r="F71" s="697"/>
      <c r="G71" s="697"/>
      <c r="H71" s="28"/>
      <c r="I71" s="28"/>
      <c r="J71" s="29"/>
      <c r="K71" s="29"/>
      <c r="L71" s="29"/>
      <c r="M71" s="27">
        <f>SUM(M69:M70)</f>
        <v>1822.73</v>
      </c>
      <c r="N71" s="27">
        <f>N69 +(N70)</f>
        <v>52240.716</v>
      </c>
      <c r="O71" s="27">
        <f>O70+O69</f>
        <v>54063.446000000011</v>
      </c>
      <c r="P71" s="19"/>
      <c r="Q71" s="19"/>
    </row>
    <row r="72" spans="1:21" ht="17.25" customHeight="1" x14ac:dyDescent="0.25">
      <c r="A72" s="116"/>
      <c r="B72" s="116"/>
      <c r="C72" s="116"/>
      <c r="D72" s="116"/>
      <c r="E72" s="116"/>
      <c r="F72" s="116"/>
      <c r="G72" s="116"/>
      <c r="H72" s="30"/>
      <c r="I72" s="30"/>
      <c r="J72" s="31"/>
      <c r="K72" s="31"/>
      <c r="L72" s="31"/>
      <c r="M72" s="32"/>
      <c r="N72" s="32"/>
      <c r="O72" s="32"/>
      <c r="P72" s="229"/>
      <c r="Q72" s="115"/>
      <c r="R72" s="115"/>
      <c r="S72" s="115"/>
      <c r="T72" s="115"/>
      <c r="U72" s="115"/>
    </row>
    <row r="73" spans="1:21" ht="17.25" customHeight="1" thickBot="1" x14ac:dyDescent="0.3">
      <c r="A73" s="116"/>
      <c r="B73" s="735" t="s">
        <v>83</v>
      </c>
      <c r="C73" s="735"/>
      <c r="D73" s="735"/>
      <c r="E73" s="735"/>
      <c r="F73" s="735"/>
      <c r="G73" s="735"/>
      <c r="H73" s="30"/>
      <c r="I73" s="732"/>
      <c r="J73" s="733"/>
      <c r="K73" s="733"/>
      <c r="L73" s="733"/>
      <c r="M73" s="733"/>
      <c r="N73" s="733"/>
      <c r="O73" s="32"/>
      <c r="P73" s="195"/>
      <c r="Q73" s="195"/>
      <c r="R73" s="195"/>
      <c r="S73" s="195"/>
      <c r="T73" s="195"/>
      <c r="U73" s="195"/>
    </row>
    <row r="74" spans="1:21" ht="17.25" customHeight="1" thickBot="1" x14ac:dyDescent="0.3">
      <c r="A74" s="23"/>
      <c r="B74" s="736"/>
      <c r="C74" s="736"/>
      <c r="D74" s="736"/>
      <c r="E74" s="736"/>
      <c r="F74" s="736"/>
      <c r="G74" s="736"/>
      <c r="H74" s="30"/>
      <c r="I74" s="793" t="s">
        <v>81</v>
      </c>
      <c r="J74" s="794"/>
      <c r="K74" s="794"/>
      <c r="L74" s="794"/>
      <c r="M74" s="794"/>
      <c r="N74" s="795"/>
      <c r="O74" s="32"/>
      <c r="P74" s="894" t="s">
        <v>176</v>
      </c>
      <c r="Q74" s="895"/>
      <c r="R74" s="895"/>
      <c r="S74" s="895"/>
      <c r="T74" s="895"/>
      <c r="U74" s="896"/>
    </row>
    <row r="75" spans="1:21" ht="48" thickBot="1" x14ac:dyDescent="0.3">
      <c r="A75" s="716" t="s">
        <v>41</v>
      </c>
      <c r="B75" s="716"/>
      <c r="C75" s="716"/>
      <c r="D75" s="716" t="s">
        <v>178</v>
      </c>
      <c r="E75" s="716"/>
      <c r="F75" s="716" t="s">
        <v>179</v>
      </c>
      <c r="G75" s="716"/>
      <c r="H75" s="30"/>
      <c r="I75" s="67" t="s">
        <v>42</v>
      </c>
      <c r="J75" s="68" t="s">
        <v>43</v>
      </c>
      <c r="K75" s="69" t="s">
        <v>44</v>
      </c>
      <c r="L75" s="69" t="s">
        <v>45</v>
      </c>
      <c r="M75" s="70" t="s">
        <v>46</v>
      </c>
      <c r="N75" s="71" t="s">
        <v>31</v>
      </c>
      <c r="O75" s="32"/>
      <c r="P75" s="67" t="s">
        <v>42</v>
      </c>
      <c r="Q75" s="68" t="s">
        <v>43</v>
      </c>
      <c r="R75" s="69" t="s">
        <v>44</v>
      </c>
      <c r="S75" s="69" t="s">
        <v>45</v>
      </c>
      <c r="T75" s="70" t="s">
        <v>46</v>
      </c>
      <c r="U75" s="71" t="s">
        <v>31</v>
      </c>
    </row>
    <row r="76" spans="1:21" ht="27.75" customHeight="1" thickBot="1" x14ac:dyDescent="0.3">
      <c r="A76" s="719" t="s">
        <v>47</v>
      </c>
      <c r="B76" s="719"/>
      <c r="C76" s="719"/>
      <c r="D76" s="743">
        <f>JULIO!D75+AGOSTO!D77+SEPTIEMBRE!D75</f>
        <v>1556227</v>
      </c>
      <c r="E76" s="744"/>
      <c r="F76" s="803">
        <f>F84</f>
        <v>881821.49099999992</v>
      </c>
      <c r="G76" s="803"/>
      <c r="H76" s="30"/>
      <c r="I76" s="72" t="s">
        <v>22</v>
      </c>
      <c r="J76" s="33">
        <f>L26</f>
        <v>103187.5</v>
      </c>
      <c r="K76" s="33">
        <f>L56</f>
        <v>52250</v>
      </c>
      <c r="L76" s="33">
        <f>L45</f>
        <v>239300</v>
      </c>
      <c r="M76" s="34">
        <f>L69</f>
        <v>30304.09</v>
      </c>
      <c r="N76" s="35">
        <f>SUM(J76:M76)</f>
        <v>425041.59</v>
      </c>
      <c r="O76" s="114"/>
      <c r="P76" s="221" t="s">
        <v>22</v>
      </c>
      <c r="Q76" s="33">
        <v>125000</v>
      </c>
      <c r="R76" s="33">
        <v>23500</v>
      </c>
      <c r="S76" s="33">
        <v>269500</v>
      </c>
      <c r="T76" s="33">
        <v>44098.54</v>
      </c>
      <c r="U76" s="35">
        <f>SUM(Q76:T76)</f>
        <v>462098.54</v>
      </c>
    </row>
    <row r="77" spans="1:21" ht="20.100000000000001" customHeight="1" thickBot="1" x14ac:dyDescent="0.3">
      <c r="A77" s="719" t="s">
        <v>48</v>
      </c>
      <c r="B77" s="719"/>
      <c r="C77" s="719"/>
      <c r="D77" s="743">
        <f>JULIO!D76+AGOSTO!D78+SEPTIEMBRE!D76</f>
        <v>10</v>
      </c>
      <c r="E77" s="744"/>
      <c r="F77" s="724">
        <f>JULIO!F76+AGOSTO!F78+SEPTIEMBRE!F76</f>
        <v>5</v>
      </c>
      <c r="G77" s="725"/>
      <c r="H77" s="113"/>
      <c r="I77" s="73" t="s">
        <v>49</v>
      </c>
      <c r="J77" s="36">
        <f>K26</f>
        <v>43800</v>
      </c>
      <c r="K77" s="33">
        <f>K56</f>
        <v>32900</v>
      </c>
      <c r="L77" s="33">
        <f>K45</f>
        <v>58000</v>
      </c>
      <c r="M77" s="37">
        <f>K69</f>
        <v>10600</v>
      </c>
      <c r="N77" s="38">
        <f>SUM(J77:M77)</f>
        <v>145300</v>
      </c>
      <c r="O77" s="114"/>
      <c r="P77" s="222" t="s">
        <v>49</v>
      </c>
      <c r="Q77" s="223">
        <v>55000</v>
      </c>
      <c r="R77" s="223">
        <v>19200</v>
      </c>
      <c r="S77" s="223">
        <v>96400</v>
      </c>
      <c r="T77" s="223">
        <v>15100</v>
      </c>
      <c r="U77" s="38">
        <f t="shared" ref="U77:U79" si="9">SUM(Q77:T77)</f>
        <v>185700</v>
      </c>
    </row>
    <row r="78" spans="1:21" ht="31.5" customHeight="1" thickBot="1" x14ac:dyDescent="0.3">
      <c r="A78" s="905" t="s">
        <v>50</v>
      </c>
      <c r="B78" s="906"/>
      <c r="C78" s="907"/>
      <c r="D78" s="743">
        <f>JULIO!D77+AGOSTO!D79+SEPTIEMBRE!D77</f>
        <v>38</v>
      </c>
      <c r="E78" s="744"/>
      <c r="F78" s="724">
        <f>JULIO!F77+AGOSTO!F79+SEPTIEMBRE!F77</f>
        <v>35</v>
      </c>
      <c r="G78" s="725"/>
      <c r="H78" s="113"/>
      <c r="I78" s="74" t="s">
        <v>51</v>
      </c>
      <c r="J78" s="36">
        <f>O28</f>
        <v>230770.45600000001</v>
      </c>
      <c r="K78" s="33">
        <f>O58</f>
        <v>317490.266</v>
      </c>
      <c r="L78" s="178">
        <f>O47</f>
        <v>279497.32300000003</v>
      </c>
      <c r="M78" s="40">
        <f>O71</f>
        <v>54063.446000000011</v>
      </c>
      <c r="N78" s="41">
        <f>SUM(J78:M78)</f>
        <v>881821.49100000015</v>
      </c>
      <c r="O78" s="114"/>
      <c r="P78" s="224" t="s">
        <v>51</v>
      </c>
      <c r="Q78" s="225">
        <v>758484</v>
      </c>
      <c r="R78" s="225">
        <v>420923</v>
      </c>
      <c r="S78" s="225">
        <v>273120</v>
      </c>
      <c r="T78" s="226">
        <v>103700</v>
      </c>
      <c r="U78" s="41">
        <f t="shared" si="9"/>
        <v>1556227</v>
      </c>
    </row>
    <row r="79" spans="1:21" ht="20.100000000000001" customHeight="1" thickBot="1" x14ac:dyDescent="0.3">
      <c r="A79" s="719" t="s">
        <v>52</v>
      </c>
      <c r="B79" s="719"/>
      <c r="C79" s="719"/>
      <c r="D79" s="743">
        <f>JULIO!D78+AGOSTO!D80+SEPTIEMBRE!D78</f>
        <v>143</v>
      </c>
      <c r="E79" s="744"/>
      <c r="F79" s="724">
        <f>JULIO!F78+AGOSTO!F80+SEPTIEMBRE!F78</f>
        <v>100</v>
      </c>
      <c r="G79" s="725"/>
      <c r="H79" s="179"/>
      <c r="I79" s="75" t="s">
        <v>31</v>
      </c>
      <c r="J79" s="76">
        <f>SUM(J76:J78)</f>
        <v>377757.95600000001</v>
      </c>
      <c r="K79" s="76">
        <f t="shared" ref="K79:M79" si="10">SUM(K76:K78)</f>
        <v>402640.266</v>
      </c>
      <c r="L79" s="76">
        <f t="shared" si="10"/>
        <v>576797.32300000009</v>
      </c>
      <c r="M79" s="77">
        <f t="shared" si="10"/>
        <v>94967.536000000007</v>
      </c>
      <c r="N79" s="78">
        <f>SUM(J79:M79)</f>
        <v>1452163.0810000002</v>
      </c>
      <c r="O79" s="196"/>
      <c r="P79" s="75" t="s">
        <v>31</v>
      </c>
      <c r="Q79" s="76">
        <f>SUM(Q76:Q78)</f>
        <v>938484</v>
      </c>
      <c r="R79" s="76">
        <f t="shared" ref="R79:T79" si="11">SUM(R76:R78)</f>
        <v>463623</v>
      </c>
      <c r="S79" s="76">
        <f t="shared" si="11"/>
        <v>639020</v>
      </c>
      <c r="T79" s="77">
        <f t="shared" si="11"/>
        <v>162898.54</v>
      </c>
      <c r="U79" s="78">
        <f t="shared" si="9"/>
        <v>2204025.54</v>
      </c>
    </row>
    <row r="80" spans="1:21" ht="20.100000000000001" customHeight="1" thickBot="1" x14ac:dyDescent="0.3">
      <c r="A80" s="719" t="s">
        <v>53</v>
      </c>
      <c r="B80" s="719"/>
      <c r="C80" s="719"/>
      <c r="D80" s="743">
        <f>JULIO!D79+AGOSTO!D81+SEPTIEMBRE!D79</f>
        <v>552</v>
      </c>
      <c r="E80" s="744"/>
      <c r="F80" s="724">
        <f>JULIO!F79+AGOSTO!F81+SEPTIEMBRE!F79</f>
        <v>552</v>
      </c>
      <c r="G80" s="725"/>
      <c r="H80" s="179"/>
      <c r="I80" s="793" t="s">
        <v>82</v>
      </c>
      <c r="J80" s="794"/>
      <c r="K80" s="794"/>
      <c r="L80" s="794"/>
      <c r="M80" s="794"/>
      <c r="N80" s="795"/>
      <c r="O80" s="196"/>
      <c r="P80" s="897" t="s">
        <v>177</v>
      </c>
      <c r="Q80" s="898"/>
      <c r="R80" s="898"/>
      <c r="S80" s="898"/>
      <c r="T80" s="898"/>
      <c r="U80" s="898"/>
    </row>
    <row r="81" spans="1:23" ht="32.25" customHeight="1" thickBot="1" x14ac:dyDescent="0.3">
      <c r="A81" s="742" t="s">
        <v>54</v>
      </c>
      <c r="B81" s="742"/>
      <c r="C81" s="742"/>
      <c r="D81" s="743">
        <f>JULIO!D80+AGOSTO!D82+SEPTIEMBRE!D80</f>
        <v>1129087</v>
      </c>
      <c r="E81" s="744"/>
      <c r="F81" s="724">
        <f>JULIO!F80+AGOSTO!F82+SEPTIEMBRE!F80</f>
        <v>495267.18000000005</v>
      </c>
      <c r="G81" s="725"/>
      <c r="H81" s="113"/>
      <c r="I81" s="67" t="s">
        <v>42</v>
      </c>
      <c r="J81" s="68" t="s">
        <v>43</v>
      </c>
      <c r="K81" s="69" t="s">
        <v>44</v>
      </c>
      <c r="L81" s="230" t="s">
        <v>45</v>
      </c>
      <c r="M81" s="123" t="s">
        <v>46</v>
      </c>
      <c r="N81" s="71" t="s">
        <v>31</v>
      </c>
      <c r="O81" s="196"/>
      <c r="P81" s="67" t="s">
        <v>42</v>
      </c>
      <c r="Q81" s="68" t="s">
        <v>43</v>
      </c>
      <c r="R81" s="69" t="s">
        <v>44</v>
      </c>
      <c r="S81" s="69" t="s">
        <v>45</v>
      </c>
      <c r="T81" s="70" t="s">
        <v>46</v>
      </c>
      <c r="U81" s="71" t="s">
        <v>31</v>
      </c>
    </row>
    <row r="82" spans="1:23" ht="20.100000000000001" customHeight="1" thickBot="1" x14ac:dyDescent="0.3">
      <c r="A82" s="742" t="s">
        <v>55</v>
      </c>
      <c r="B82" s="742"/>
      <c r="C82" s="742"/>
      <c r="D82" s="743">
        <f>JULIO!D81+AGOSTO!D83+SEPTIEMBRE!D81</f>
        <v>474600</v>
      </c>
      <c r="E82" s="744"/>
      <c r="F82" s="724">
        <f>JULIO!F81+AGOSTO!F83+SEPTIEMBRE!F81</f>
        <v>429504.79</v>
      </c>
      <c r="G82" s="725"/>
      <c r="H82" s="113"/>
      <c r="I82" s="72" t="s">
        <v>22</v>
      </c>
      <c r="J82" s="117">
        <f>J76/Q76</f>
        <v>0.82550000000000001</v>
      </c>
      <c r="K82" s="117">
        <f>K76/R76</f>
        <v>2.2234042553191489</v>
      </c>
      <c r="L82" s="117">
        <f>L76/S76</f>
        <v>0.88794063079777363</v>
      </c>
      <c r="M82" s="118">
        <f>M76/T76</f>
        <v>0.6871903242148153</v>
      </c>
      <c r="N82" s="119">
        <f>N76/U76</f>
        <v>0.91980725582902734</v>
      </c>
      <c r="O82" s="196"/>
      <c r="P82" s="124" t="s">
        <v>48</v>
      </c>
      <c r="Q82" s="128">
        <v>9</v>
      </c>
      <c r="R82" s="128">
        <v>0</v>
      </c>
      <c r="S82" s="128">
        <v>0</v>
      </c>
      <c r="T82" s="227">
        <v>0</v>
      </c>
      <c r="U82" s="141">
        <f>SUM(Q82:T82)</f>
        <v>9</v>
      </c>
    </row>
    <row r="83" spans="1:23" ht="20.100000000000001" customHeight="1" thickBot="1" x14ac:dyDescent="0.3">
      <c r="A83" s="742" t="s">
        <v>56</v>
      </c>
      <c r="B83" s="742"/>
      <c r="C83" s="742"/>
      <c r="D83" s="743">
        <f>JULIO!D82+AGOSTO!D84+SEPTIEMBRE!D82</f>
        <v>-47460</v>
      </c>
      <c r="E83" s="744"/>
      <c r="F83" s="724">
        <f>JULIO!F82+AGOSTO!F84+SEPTIEMBRE!F82</f>
        <v>-42950.478999999999</v>
      </c>
      <c r="G83" s="725"/>
      <c r="H83" s="113"/>
      <c r="I83" s="73" t="s">
        <v>49</v>
      </c>
      <c r="J83" s="117">
        <f t="shared" ref="J83:M85" si="12">J77/Q77</f>
        <v>0.79636363636363638</v>
      </c>
      <c r="K83" s="117">
        <f t="shared" si="12"/>
        <v>1.7135416666666667</v>
      </c>
      <c r="L83" s="117">
        <f t="shared" si="12"/>
        <v>0.60165975103734437</v>
      </c>
      <c r="M83" s="118">
        <f t="shared" si="12"/>
        <v>0.70198675496688745</v>
      </c>
      <c r="N83" s="119">
        <f t="shared" ref="N83:N84" si="13">N77/U77</f>
        <v>0.78244480344641898</v>
      </c>
      <c r="O83" s="196"/>
      <c r="P83" s="125" t="s">
        <v>86</v>
      </c>
      <c r="Q83" s="129">
        <v>10</v>
      </c>
      <c r="R83" s="128">
        <v>6</v>
      </c>
      <c r="S83" s="129">
        <v>18</v>
      </c>
      <c r="T83" s="228">
        <v>3</v>
      </c>
      <c r="U83" s="141">
        <f t="shared" ref="U83:U87" si="14">SUM(Q83:T83)</f>
        <v>37</v>
      </c>
    </row>
    <row r="84" spans="1:23" ht="20.100000000000001" customHeight="1" thickBot="1" x14ac:dyDescent="0.3">
      <c r="A84" s="737" t="s">
        <v>57</v>
      </c>
      <c r="B84" s="737"/>
      <c r="C84" s="737"/>
      <c r="D84" s="908">
        <f>SUM(D81:E83)</f>
        <v>1556227</v>
      </c>
      <c r="E84" s="908"/>
      <c r="F84" s="908">
        <f>SUM(F81:G83)</f>
        <v>881821.49099999992</v>
      </c>
      <c r="G84" s="908"/>
      <c r="H84" s="112"/>
      <c r="I84" s="74" t="s">
        <v>51</v>
      </c>
      <c r="J84" s="117">
        <f t="shared" si="12"/>
        <v>0.30425223999451539</v>
      </c>
      <c r="K84" s="117">
        <f t="shared" si="12"/>
        <v>0.75427160311981056</v>
      </c>
      <c r="L84" s="117">
        <f t="shared" si="12"/>
        <v>1.0233498938195666</v>
      </c>
      <c r="M84" s="118">
        <f t="shared" si="12"/>
        <v>0.52134470588235304</v>
      </c>
      <c r="N84" s="119">
        <f t="shared" si="13"/>
        <v>0.56664065782177031</v>
      </c>
      <c r="O84" s="196"/>
      <c r="P84" s="74" t="s">
        <v>87</v>
      </c>
      <c r="Q84" s="129">
        <v>98</v>
      </c>
      <c r="R84" s="128">
        <v>25</v>
      </c>
      <c r="S84" s="129">
        <v>0</v>
      </c>
      <c r="T84" s="228">
        <v>20</v>
      </c>
      <c r="U84" s="141">
        <f t="shared" si="14"/>
        <v>143</v>
      </c>
    </row>
    <row r="85" spans="1:23" ht="20.100000000000001" customHeight="1" thickBot="1" x14ac:dyDescent="0.3">
      <c r="A85" s="42"/>
      <c r="B85" s="42"/>
      <c r="C85" s="42"/>
      <c r="D85" s="42"/>
      <c r="E85" s="42"/>
      <c r="F85" s="672"/>
      <c r="G85" s="112"/>
      <c r="H85" s="112"/>
      <c r="I85" s="75" t="s">
        <v>31</v>
      </c>
      <c r="J85" s="120">
        <f t="shared" si="12"/>
        <v>0.40251933543885671</v>
      </c>
      <c r="K85" s="120">
        <f t="shared" si="12"/>
        <v>0.86846482163309413</v>
      </c>
      <c r="L85" s="120">
        <f t="shared" si="12"/>
        <v>0.90262796626083708</v>
      </c>
      <c r="M85" s="121">
        <f t="shared" si="12"/>
        <v>0.58298580208269513</v>
      </c>
      <c r="N85" s="122">
        <f>N79/U79</f>
        <v>0.65886853606968643</v>
      </c>
      <c r="O85" s="42"/>
      <c r="P85" s="74" t="s">
        <v>88</v>
      </c>
      <c r="Q85" s="129">
        <v>96</v>
      </c>
      <c r="R85" s="128">
        <v>96</v>
      </c>
      <c r="S85" s="129">
        <v>288</v>
      </c>
      <c r="T85" s="228">
        <v>72</v>
      </c>
      <c r="U85" s="141">
        <f t="shared" si="14"/>
        <v>552</v>
      </c>
    </row>
    <row r="86" spans="1:23" ht="15.75" thickBot="1" x14ac:dyDescent="0.3">
      <c r="A86" s="42"/>
      <c r="B86" s="741"/>
      <c r="C86" s="741"/>
      <c r="D86" s="741"/>
      <c r="E86" s="176"/>
      <c r="F86" s="176"/>
      <c r="G86" s="176"/>
      <c r="I86" s="42"/>
      <c r="J86" s="42"/>
      <c r="K86" s="42"/>
      <c r="L86" s="42"/>
      <c r="M86" s="42"/>
      <c r="N86" s="42"/>
      <c r="O86" s="42"/>
      <c r="P86" s="74" t="s">
        <v>89</v>
      </c>
      <c r="Q86" s="131">
        <v>641844</v>
      </c>
      <c r="R86" s="276">
        <v>317243</v>
      </c>
      <c r="S86" s="131">
        <v>150000</v>
      </c>
      <c r="T86" s="277">
        <v>20000</v>
      </c>
      <c r="U86" s="278">
        <f t="shared" si="14"/>
        <v>1129087</v>
      </c>
      <c r="W86" s="149"/>
    </row>
    <row r="87" spans="1:23" ht="15.75" thickBot="1" x14ac:dyDescent="0.3">
      <c r="A87" s="42"/>
      <c r="B87" s="180"/>
      <c r="C87" s="44"/>
      <c r="D87" s="44"/>
      <c r="E87" s="45"/>
      <c r="F87" s="44"/>
      <c r="G87" s="187"/>
      <c r="H87" s="44"/>
      <c r="I87" s="804" t="s">
        <v>92</v>
      </c>
      <c r="J87" s="805"/>
      <c r="K87" s="805"/>
      <c r="L87" s="805"/>
      <c r="M87" s="805"/>
      <c r="N87" s="806"/>
      <c r="O87" s="42"/>
      <c r="P87" s="74" t="s">
        <v>91</v>
      </c>
      <c r="Q87" s="130">
        <v>116640</v>
      </c>
      <c r="R87" s="130">
        <v>103680</v>
      </c>
      <c r="S87" s="130">
        <v>123120</v>
      </c>
      <c r="T87" s="279">
        <v>83700</v>
      </c>
      <c r="U87" s="278">
        <f t="shared" si="14"/>
        <v>427140</v>
      </c>
      <c r="W87" s="182"/>
    </row>
    <row r="88" spans="1:23" ht="32.25" thickBot="1" x14ac:dyDescent="0.3">
      <c r="A88" s="42"/>
      <c r="B88" s="180"/>
      <c r="C88" s="44"/>
      <c r="D88" s="44"/>
      <c r="E88" s="45"/>
      <c r="F88" s="186"/>
      <c r="G88" s="46"/>
      <c r="H88" s="44"/>
      <c r="I88" s="67" t="s">
        <v>42</v>
      </c>
      <c r="J88" s="68" t="s">
        <v>43</v>
      </c>
      <c r="K88" s="69" t="s">
        <v>44</v>
      </c>
      <c r="L88" s="69" t="s">
        <v>112</v>
      </c>
      <c r="M88" s="70" t="s">
        <v>46</v>
      </c>
      <c r="N88" s="71" t="s">
        <v>31</v>
      </c>
      <c r="O88" s="42"/>
      <c r="P88" s="75" t="s">
        <v>31</v>
      </c>
      <c r="Q88" s="127">
        <f>Q86+Q87</f>
        <v>758484</v>
      </c>
      <c r="R88" s="76">
        <f>R86+R87</f>
        <v>420923</v>
      </c>
      <c r="S88" s="76">
        <f t="shared" ref="S88:T88" si="15">S86+S87</f>
        <v>273120</v>
      </c>
      <c r="T88" s="76">
        <f t="shared" si="15"/>
        <v>103700</v>
      </c>
      <c r="U88" s="76">
        <f>SUM(Q88:T88)</f>
        <v>1556227</v>
      </c>
      <c r="W88" s="7"/>
    </row>
    <row r="89" spans="1:23" x14ac:dyDescent="0.25">
      <c r="A89" s="42"/>
      <c r="B89" s="810"/>
      <c r="C89" s="810"/>
      <c r="D89" s="810"/>
      <c r="E89" s="811"/>
      <c r="F89" s="811"/>
      <c r="G89" s="811"/>
      <c r="H89" s="47"/>
      <c r="I89" s="124" t="s">
        <v>48</v>
      </c>
      <c r="J89" s="132">
        <f>2/Q82</f>
        <v>0.22222222222222221</v>
      </c>
      <c r="K89" s="132" t="e">
        <f>(1)/R82</f>
        <v>#DIV/0!</v>
      </c>
      <c r="L89" s="132" t="e">
        <f>(3)/S82</f>
        <v>#DIV/0!</v>
      </c>
      <c r="M89" s="118" t="e">
        <f>(0)/T82</f>
        <v>#DIV/0!</v>
      </c>
      <c r="N89" s="119">
        <f t="shared" ref="N89:N92" si="16">F77/D77</f>
        <v>0.5</v>
      </c>
      <c r="O89" s="42"/>
    </row>
    <row r="90" spans="1:23" x14ac:dyDescent="0.25">
      <c r="A90" s="42"/>
      <c r="B90" s="790"/>
      <c r="C90" s="790"/>
      <c r="D90" s="790"/>
      <c r="E90" s="791"/>
      <c r="F90" s="791"/>
      <c r="G90" s="791"/>
      <c r="H90" s="44"/>
      <c r="I90" s="125" t="s">
        <v>86</v>
      </c>
      <c r="J90" s="133">
        <f>A26/Q83</f>
        <v>1.1000000000000001</v>
      </c>
      <c r="K90" s="132">
        <f>A56/R83</f>
        <v>1.5</v>
      </c>
      <c r="L90" s="142">
        <f>A45/S83</f>
        <v>0.66666666666666663</v>
      </c>
      <c r="M90" s="143">
        <f>A69/T83</f>
        <v>1</v>
      </c>
      <c r="N90" s="669">
        <f>F78/D78</f>
        <v>0.92105263157894735</v>
      </c>
      <c r="O90" s="42"/>
      <c r="Q90" s="19"/>
      <c r="U90" s="19"/>
    </row>
    <row r="91" spans="1:23" x14ac:dyDescent="0.25">
      <c r="A91" s="42"/>
      <c r="B91" s="42"/>
      <c r="C91" s="42"/>
      <c r="D91" s="42"/>
      <c r="E91" s="42"/>
      <c r="F91" s="42"/>
      <c r="G91" s="42"/>
      <c r="H91" s="42"/>
      <c r="I91" s="74" t="s">
        <v>87</v>
      </c>
      <c r="J91" s="133">
        <f>(H26+I26)/Q84</f>
        <v>0.1326530612244898</v>
      </c>
      <c r="K91" s="128">
        <f>(H56+I56)/R84</f>
        <v>0</v>
      </c>
      <c r="L91" s="133" t="e">
        <f>(H45+I45)/S84</f>
        <v>#DIV/0!</v>
      </c>
      <c r="M91" s="143">
        <f>(H69+I69)/T84</f>
        <v>0</v>
      </c>
      <c r="N91" s="670">
        <f>F79/D79</f>
        <v>0.69930069930069927</v>
      </c>
      <c r="O91" s="42"/>
      <c r="R91" s="726"/>
      <c r="S91" s="726"/>
    </row>
    <row r="92" spans="1:23" x14ac:dyDescent="0.25">
      <c r="A92" s="42"/>
      <c r="B92" s="183" t="s">
        <v>106</v>
      </c>
      <c r="C92" s="183"/>
      <c r="D92" s="183"/>
      <c r="E92" s="43" t="s">
        <v>107</v>
      </c>
      <c r="F92" s="42"/>
      <c r="G92" s="42"/>
      <c r="H92" s="42"/>
      <c r="I92" s="74" t="s">
        <v>88</v>
      </c>
      <c r="J92" s="133">
        <f>G26/Q85</f>
        <v>1.6666666666666667</v>
      </c>
      <c r="K92" s="132">
        <f>G56/R85</f>
        <v>1.25</v>
      </c>
      <c r="L92" s="133">
        <f>G45/S85</f>
        <v>0.80555555555555558</v>
      </c>
      <c r="M92" s="143">
        <f>G69/T85</f>
        <v>0.55555555555555558</v>
      </c>
      <c r="N92" s="147">
        <f t="shared" si="16"/>
        <v>1</v>
      </c>
      <c r="O92" s="42"/>
    </row>
    <row r="93" spans="1:23" x14ac:dyDescent="0.25">
      <c r="A93" s="42"/>
      <c r="B93" s="44"/>
      <c r="C93" s="44"/>
      <c r="D93" s="44"/>
      <c r="E93" s="45"/>
      <c r="F93" s="43"/>
      <c r="G93" s="42"/>
      <c r="H93" s="42"/>
      <c r="I93" s="74" t="s">
        <v>89</v>
      </c>
      <c r="J93" s="133">
        <f>M26/Q86</f>
        <v>0.15968194763836693</v>
      </c>
      <c r="K93" s="128">
        <f>M56/R86</f>
        <v>0.86811478897879546</v>
      </c>
      <c r="L93" s="133">
        <f>M45/S86</f>
        <v>1.0662390666666666</v>
      </c>
      <c r="M93" s="143">
        <f>M69/T86</f>
        <v>9.1136499999999995E-2</v>
      </c>
      <c r="N93" s="134">
        <f>F81/D81</f>
        <v>0.43864394860626332</v>
      </c>
      <c r="O93" s="42"/>
    </row>
    <row r="94" spans="1:23" x14ac:dyDescent="0.25">
      <c r="A94" s="42"/>
      <c r="B94" s="44"/>
      <c r="C94" s="44"/>
      <c r="D94" s="44"/>
      <c r="E94" s="45"/>
      <c r="F94" s="44"/>
      <c r="G94" s="42"/>
      <c r="H94" s="42"/>
      <c r="I94" s="74" t="s">
        <v>90</v>
      </c>
      <c r="J94" s="135">
        <f>N28/Q87</f>
        <v>1.0997904320987655</v>
      </c>
      <c r="K94" s="135">
        <f>N58/R87</f>
        <v>0.83403333333333329</v>
      </c>
      <c r="L94" s="135">
        <f>N47/S87</f>
        <v>0.9710970029239766</v>
      </c>
      <c r="M94" s="144">
        <f>N71/T87</f>
        <v>0.62414236559139791</v>
      </c>
      <c r="N94" s="136">
        <f>F82/D82</f>
        <v>0.90498270122208169</v>
      </c>
      <c r="O94" s="42"/>
    </row>
    <row r="95" spans="1:23" ht="15.75" thickBot="1" x14ac:dyDescent="0.3">
      <c r="A95" s="42"/>
      <c r="B95" s="44"/>
      <c r="C95" s="44"/>
      <c r="D95" s="44"/>
      <c r="E95" s="45"/>
      <c r="F95" s="44"/>
      <c r="G95" s="42"/>
      <c r="H95" s="42"/>
      <c r="I95" s="75" t="s">
        <v>31</v>
      </c>
      <c r="J95" s="137">
        <f>J78/Q78</f>
        <v>0.30425223999451539</v>
      </c>
      <c r="K95" s="137">
        <f>K78/R78</f>
        <v>0.75427160311981056</v>
      </c>
      <c r="L95" s="137">
        <f>L78/S78</f>
        <v>1.0233498938195666</v>
      </c>
      <c r="M95" s="145">
        <f>M78/T78</f>
        <v>0.52134470588235304</v>
      </c>
      <c r="N95" s="146">
        <f>N78/U78</f>
        <v>0.56664065782177031</v>
      </c>
      <c r="O95" s="42"/>
      <c r="P95" s="19"/>
    </row>
    <row r="96" spans="1:23" ht="15.75" thickBot="1" x14ac:dyDescent="0.3">
      <c r="A96" s="42"/>
      <c r="B96" s="44"/>
      <c r="C96" s="44"/>
      <c r="D96" s="44"/>
      <c r="E96" s="45"/>
      <c r="F96" s="44"/>
      <c r="G96" s="42"/>
      <c r="H96" s="42"/>
      <c r="I96" s="42"/>
      <c r="J96" s="42"/>
      <c r="K96" s="42"/>
      <c r="L96" s="42"/>
      <c r="M96" s="42"/>
      <c r="N96" s="42"/>
      <c r="O96" s="42"/>
    </row>
    <row r="97" spans="1:15" ht="15.75" thickBot="1" x14ac:dyDescent="0.3">
      <c r="A97" s="42"/>
      <c r="B97" s="184" t="s">
        <v>108</v>
      </c>
      <c r="C97" s="184"/>
      <c r="D97" s="184"/>
      <c r="E97" s="185" t="s">
        <v>109</v>
      </c>
      <c r="F97" s="44"/>
      <c r="G97" s="42"/>
      <c r="H97" s="42"/>
      <c r="I97" s="894" t="s">
        <v>176</v>
      </c>
      <c r="J97" s="895"/>
      <c r="K97" s="895"/>
      <c r="L97" s="895"/>
      <c r="M97" s="895"/>
      <c r="N97" s="896"/>
    </row>
    <row r="98" spans="1:15" ht="32.25" thickBot="1" x14ac:dyDescent="0.3">
      <c r="A98" s="42"/>
      <c r="B98" s="44" t="s">
        <v>110</v>
      </c>
      <c r="C98" s="44"/>
      <c r="D98" s="44"/>
      <c r="E98" s="43" t="s">
        <v>111</v>
      </c>
      <c r="F98" s="185"/>
      <c r="G98" s="42"/>
      <c r="H98" s="42"/>
      <c r="I98" s="67" t="s">
        <v>42</v>
      </c>
      <c r="J98" s="68" t="s">
        <v>43</v>
      </c>
      <c r="K98" s="69" t="s">
        <v>44</v>
      </c>
      <c r="L98" s="69" t="s">
        <v>45</v>
      </c>
      <c r="M98" s="70" t="s">
        <v>46</v>
      </c>
      <c r="N98" s="71" t="s">
        <v>31</v>
      </c>
    </row>
    <row r="99" spans="1:15" x14ac:dyDescent="0.25">
      <c r="A99" s="42"/>
      <c r="B99" s="42"/>
      <c r="C99" s="42"/>
      <c r="D99" s="42"/>
      <c r="E99" s="42"/>
      <c r="F99" s="43"/>
      <c r="G99" s="42"/>
      <c r="H99" s="42"/>
      <c r="I99" s="221" t="s">
        <v>22</v>
      </c>
      <c r="J99" s="33">
        <v>125000</v>
      </c>
      <c r="K99" s="33">
        <v>23500</v>
      </c>
      <c r="L99" s="33">
        <v>269500</v>
      </c>
      <c r="M99" s="33">
        <v>44098.54</v>
      </c>
      <c r="N99" s="35">
        <f>SUM(J99:M99)</f>
        <v>462098.54</v>
      </c>
    </row>
    <row r="100" spans="1:15" x14ac:dyDescent="0.25">
      <c r="A100" s="42"/>
      <c r="B100" s="5"/>
      <c r="C100" s="5"/>
      <c r="D100" s="5"/>
      <c r="E100" s="5"/>
      <c r="F100" s="42"/>
      <c r="G100" s="42"/>
      <c r="H100" s="42"/>
      <c r="I100" s="222" t="s">
        <v>49</v>
      </c>
      <c r="J100" s="223">
        <v>55000</v>
      </c>
      <c r="K100" s="223">
        <v>19200</v>
      </c>
      <c r="L100" s="223">
        <v>96400</v>
      </c>
      <c r="M100" s="223">
        <v>15100</v>
      </c>
      <c r="N100" s="38">
        <f t="shared" ref="N100:N102" si="17">SUM(J100:M100)</f>
        <v>185700</v>
      </c>
    </row>
    <row r="101" spans="1:15" x14ac:dyDescent="0.25">
      <c r="A101" s="42"/>
      <c r="B101" s="5"/>
      <c r="C101" s="5"/>
      <c r="D101" s="5"/>
      <c r="E101" s="5"/>
      <c r="F101" s="42"/>
      <c r="G101" s="42"/>
      <c r="H101" s="42"/>
      <c r="I101" s="224" t="s">
        <v>51</v>
      </c>
      <c r="J101" s="225">
        <v>758484</v>
      </c>
      <c r="K101" s="225">
        <v>420923</v>
      </c>
      <c r="L101" s="225">
        <v>273120</v>
      </c>
      <c r="M101" s="226">
        <v>103700</v>
      </c>
      <c r="N101" s="41">
        <f t="shared" si="17"/>
        <v>1556227</v>
      </c>
    </row>
    <row r="102" spans="1:15" ht="15.75" thickBot="1" x14ac:dyDescent="0.3">
      <c r="A102" s="42"/>
      <c r="B102" s="5"/>
      <c r="C102" s="5"/>
      <c r="D102" s="5"/>
      <c r="E102" s="5"/>
      <c r="F102" s="42"/>
      <c r="G102" s="42"/>
      <c r="H102" s="42"/>
      <c r="I102" s="75" t="s">
        <v>31</v>
      </c>
      <c r="J102" s="76">
        <f>SUM(J99:J101)</f>
        <v>938484</v>
      </c>
      <c r="K102" s="76">
        <f t="shared" ref="K102:M102" si="18">SUM(K99:K101)</f>
        <v>463623</v>
      </c>
      <c r="L102" s="76">
        <f t="shared" si="18"/>
        <v>639020</v>
      </c>
      <c r="M102" s="77">
        <f t="shared" si="18"/>
        <v>162898.54</v>
      </c>
      <c r="N102" s="78">
        <f t="shared" si="17"/>
        <v>2204025.54</v>
      </c>
    </row>
    <row r="103" spans="1:15" ht="15.75" thickBot="1" x14ac:dyDescent="0.3">
      <c r="A103" s="42"/>
      <c r="B103" s="5"/>
      <c r="C103" s="5"/>
      <c r="D103" s="5"/>
      <c r="E103" s="5"/>
      <c r="F103" s="42"/>
      <c r="G103" s="42"/>
      <c r="H103" s="42"/>
      <c r="I103" s="897" t="s">
        <v>177</v>
      </c>
      <c r="J103" s="898"/>
      <c r="K103" s="898"/>
      <c r="L103" s="898"/>
      <c r="M103" s="898"/>
      <c r="N103" s="898"/>
    </row>
    <row r="104" spans="1:15" ht="32.25" thickBot="1" x14ac:dyDescent="0.3">
      <c r="A104" s="42"/>
      <c r="B104" s="5"/>
      <c r="C104" s="5"/>
      <c r="D104" s="5"/>
      <c r="E104" s="5"/>
      <c r="F104" s="42"/>
      <c r="G104" s="42"/>
      <c r="H104" s="42"/>
      <c r="I104" s="67" t="s">
        <v>42</v>
      </c>
      <c r="J104" s="68" t="s">
        <v>43</v>
      </c>
      <c r="K104" s="69" t="s">
        <v>44</v>
      </c>
      <c r="L104" s="69" t="s">
        <v>45</v>
      </c>
      <c r="M104" s="70" t="s">
        <v>46</v>
      </c>
      <c r="N104" s="71" t="s">
        <v>31</v>
      </c>
    </row>
    <row r="105" spans="1:15" x14ac:dyDescent="0.25">
      <c r="A105" s="42"/>
      <c r="B105" s="5"/>
      <c r="C105" s="5"/>
      <c r="D105" s="5"/>
      <c r="E105" s="5"/>
      <c r="F105" s="42"/>
      <c r="G105" s="42"/>
      <c r="H105" s="42"/>
      <c r="I105" s="124" t="s">
        <v>48</v>
      </c>
      <c r="J105" s="128">
        <v>9</v>
      </c>
      <c r="K105" s="128">
        <v>0</v>
      </c>
      <c r="L105" s="128">
        <v>0</v>
      </c>
      <c r="M105" s="227">
        <v>0</v>
      </c>
      <c r="N105" s="141">
        <f>SUM(J105:M105)</f>
        <v>9</v>
      </c>
    </row>
    <row r="106" spans="1:15" x14ac:dyDescent="0.25">
      <c r="A106" s="5"/>
      <c r="B106" s="5"/>
      <c r="C106" s="5"/>
      <c r="D106" s="5"/>
      <c r="E106" s="5"/>
      <c r="F106" s="5"/>
      <c r="G106" s="5"/>
      <c r="H106" s="5"/>
      <c r="I106" s="125" t="s">
        <v>86</v>
      </c>
      <c r="J106" s="129">
        <v>10</v>
      </c>
      <c r="K106" s="128">
        <v>6</v>
      </c>
      <c r="L106" s="129">
        <v>18</v>
      </c>
      <c r="M106" s="228">
        <v>3</v>
      </c>
      <c r="N106" s="141">
        <f t="shared" ref="N106:N110" si="19">SUM(J106:M106)</f>
        <v>37</v>
      </c>
    </row>
    <row r="107" spans="1:15" x14ac:dyDescent="0.25">
      <c r="A107" s="5"/>
      <c r="B107" s="5"/>
      <c r="C107" s="5"/>
      <c r="D107" s="5"/>
      <c r="E107" s="5"/>
      <c r="F107" s="42"/>
      <c r="G107" s="5"/>
      <c r="H107" s="5"/>
      <c r="I107" s="74" t="s">
        <v>87</v>
      </c>
      <c r="J107" s="129">
        <v>98</v>
      </c>
      <c r="K107" s="128">
        <v>25</v>
      </c>
      <c r="L107" s="129">
        <v>0</v>
      </c>
      <c r="M107" s="228">
        <v>20</v>
      </c>
      <c r="N107" s="141">
        <f t="shared" si="19"/>
        <v>143</v>
      </c>
    </row>
    <row r="108" spans="1:15" x14ac:dyDescent="0.25">
      <c r="A108" s="5"/>
      <c r="B108" s="5"/>
      <c r="C108" s="5"/>
      <c r="D108" s="5"/>
      <c r="E108" s="5"/>
      <c r="F108" s="43"/>
      <c r="G108" s="5"/>
      <c r="H108" s="5"/>
      <c r="I108" s="74" t="s">
        <v>88</v>
      </c>
      <c r="J108" s="129">
        <v>96</v>
      </c>
      <c r="K108" s="128">
        <v>96</v>
      </c>
      <c r="L108" s="129">
        <v>288</v>
      </c>
      <c r="M108" s="228">
        <v>72</v>
      </c>
      <c r="N108" s="141">
        <f t="shared" si="19"/>
        <v>552</v>
      </c>
    </row>
    <row r="109" spans="1:15" x14ac:dyDescent="0.25">
      <c r="A109" s="5"/>
      <c r="B109" s="5"/>
      <c r="C109" s="5"/>
      <c r="D109" s="5"/>
      <c r="E109" s="5"/>
      <c r="F109" s="44"/>
      <c r="G109" s="5"/>
      <c r="H109" s="5"/>
      <c r="I109" s="74" t="s">
        <v>89</v>
      </c>
      <c r="J109" s="131">
        <v>641844</v>
      </c>
      <c r="K109" s="276">
        <v>317243</v>
      </c>
      <c r="L109" s="131">
        <v>150000</v>
      </c>
      <c r="M109" s="277">
        <v>20000</v>
      </c>
      <c r="N109" s="278">
        <f t="shared" si="19"/>
        <v>1129087</v>
      </c>
    </row>
    <row r="110" spans="1:15" x14ac:dyDescent="0.25">
      <c r="A110" s="5"/>
      <c r="B110" s="5"/>
      <c r="C110" s="5"/>
      <c r="D110" s="5"/>
      <c r="E110" s="5"/>
      <c r="F110" s="44"/>
      <c r="G110" s="5"/>
      <c r="H110" s="5"/>
      <c r="I110" s="74" t="s">
        <v>91</v>
      </c>
      <c r="J110" s="130">
        <v>116640</v>
      </c>
      <c r="K110" s="130">
        <v>103680</v>
      </c>
      <c r="L110" s="130">
        <v>123120</v>
      </c>
      <c r="M110" s="279">
        <v>83700</v>
      </c>
      <c r="N110" s="278">
        <f t="shared" si="19"/>
        <v>427140</v>
      </c>
    </row>
    <row r="111" spans="1:15" ht="15.75" thickBot="1" x14ac:dyDescent="0.3">
      <c r="A111" s="5"/>
      <c r="B111" s="5"/>
      <c r="C111" s="5"/>
      <c r="D111" s="5"/>
      <c r="E111" s="5"/>
      <c r="F111" s="44"/>
      <c r="G111" s="5"/>
      <c r="H111" s="5"/>
      <c r="I111" s="75" t="s">
        <v>31</v>
      </c>
      <c r="J111" s="127">
        <f>J109+J110</f>
        <v>758484</v>
      </c>
      <c r="K111" s="76">
        <f>K109+K110</f>
        <v>420923</v>
      </c>
      <c r="L111" s="76">
        <f t="shared" ref="L111:M111" si="20">L109+L110</f>
        <v>273120</v>
      </c>
      <c r="M111" s="76">
        <f t="shared" si="20"/>
        <v>103700</v>
      </c>
      <c r="N111" s="76">
        <f>SUM(J111:M111)</f>
        <v>1556227</v>
      </c>
    </row>
    <row r="112" spans="1:15" x14ac:dyDescent="0.25">
      <c r="A112" s="5"/>
      <c r="B112" s="5"/>
      <c r="C112" s="5"/>
      <c r="D112" s="5"/>
      <c r="E112" s="5"/>
      <c r="F112" s="44"/>
      <c r="G112" s="5"/>
      <c r="H112" s="5"/>
      <c r="I112" s="5"/>
      <c r="J112" s="5"/>
      <c r="K112" s="5"/>
      <c r="L112" s="5"/>
      <c r="M112" s="5"/>
      <c r="N112" s="5"/>
      <c r="O112" s="5"/>
    </row>
    <row r="113" spans="1:15" x14ac:dyDescent="0.25">
      <c r="A113" s="5"/>
      <c r="B113" s="5"/>
      <c r="C113" s="5"/>
      <c r="D113" s="5"/>
      <c r="E113" s="5"/>
      <c r="F113" s="185"/>
      <c r="G113" s="5"/>
      <c r="H113" s="5"/>
      <c r="I113" s="5"/>
      <c r="J113" s="5"/>
      <c r="K113" s="5"/>
      <c r="L113" s="5"/>
      <c r="M113" s="5"/>
      <c r="N113" s="5"/>
      <c r="O113" s="5"/>
    </row>
    <row r="114" spans="1:15" x14ac:dyDescent="0.25">
      <c r="A114" s="5"/>
      <c r="B114" s="5"/>
      <c r="C114" s="5"/>
      <c r="D114" s="5"/>
      <c r="E114" s="5"/>
      <c r="F114" s="43"/>
      <c r="G114" s="5"/>
      <c r="H114" s="5"/>
      <c r="I114" s="5"/>
      <c r="J114" s="5"/>
      <c r="K114" s="5"/>
      <c r="L114" s="5"/>
      <c r="M114" s="5"/>
      <c r="N114" s="5"/>
      <c r="O114" s="5"/>
    </row>
    <row r="115" spans="1:15" x14ac:dyDescent="0.25">
      <c r="A115" s="5"/>
      <c r="B115" s="5"/>
      <c r="C115" s="5"/>
      <c r="D115" s="5"/>
      <c r="E115" s="5"/>
      <c r="F115" s="42"/>
      <c r="G115" s="5"/>
      <c r="H115" s="5"/>
      <c r="I115" s="5"/>
      <c r="J115" s="5"/>
      <c r="K115" s="5"/>
      <c r="L115" s="5"/>
      <c r="M115" s="5"/>
      <c r="N115" s="5"/>
      <c r="O115" s="5"/>
    </row>
    <row r="116" spans="1:15" x14ac:dyDescent="0.25">
      <c r="A116" s="5"/>
      <c r="B116" s="5"/>
      <c r="C116" s="5"/>
      <c r="D116" s="5"/>
      <c r="E116" s="5"/>
      <c r="F116" s="5"/>
      <c r="G116" s="5"/>
      <c r="H116" s="5"/>
      <c r="I116" s="5"/>
      <c r="J116" s="5"/>
      <c r="K116" s="5"/>
      <c r="L116" s="5"/>
      <c r="M116" s="5"/>
      <c r="N116" s="5"/>
      <c r="O116" s="5"/>
    </row>
    <row r="117" spans="1:15" x14ac:dyDescent="0.25">
      <c r="A117" s="5"/>
      <c r="B117" s="5"/>
      <c r="C117" s="5"/>
      <c r="D117" s="5"/>
      <c r="E117" s="5"/>
      <c r="F117" s="5"/>
      <c r="G117" s="5"/>
      <c r="H117" s="5"/>
      <c r="I117" s="5"/>
      <c r="J117" s="5"/>
      <c r="K117" s="5"/>
      <c r="L117" s="5"/>
      <c r="M117" s="5"/>
      <c r="N117" s="5"/>
      <c r="O117" s="5"/>
    </row>
    <row r="118" spans="1:15" x14ac:dyDescent="0.25">
      <c r="A118" s="5"/>
      <c r="B118" s="5"/>
      <c r="C118" s="5"/>
      <c r="D118" s="5"/>
      <c r="E118" s="5"/>
      <c r="F118" s="5"/>
      <c r="G118" s="5"/>
      <c r="H118" s="5"/>
      <c r="I118" s="5"/>
      <c r="J118" s="5"/>
      <c r="K118" s="5"/>
      <c r="L118" s="5"/>
      <c r="M118" s="5"/>
      <c r="N118" s="5"/>
      <c r="O118" s="5"/>
    </row>
    <row r="119" spans="1:15" x14ac:dyDescent="0.25">
      <c r="A119" s="5"/>
      <c r="B119" s="5"/>
      <c r="C119" s="5"/>
      <c r="D119" s="5"/>
      <c r="E119" s="5"/>
      <c r="F119" s="5"/>
      <c r="G119" s="5"/>
      <c r="H119" s="5"/>
      <c r="I119" s="5"/>
      <c r="J119" s="5"/>
      <c r="K119" s="5"/>
      <c r="L119" s="5"/>
      <c r="M119" s="5"/>
      <c r="N119" s="5"/>
      <c r="O119" s="5"/>
    </row>
    <row r="120" spans="1:15" x14ac:dyDescent="0.25">
      <c r="A120" s="5"/>
      <c r="B120" s="5"/>
      <c r="C120" s="5"/>
      <c r="D120" s="5"/>
      <c r="E120" s="5"/>
      <c r="F120" s="5"/>
      <c r="G120" s="5"/>
      <c r="H120" s="5"/>
      <c r="I120" s="5"/>
      <c r="J120" s="5"/>
      <c r="K120" s="5"/>
      <c r="L120" s="5"/>
      <c r="M120" s="5"/>
      <c r="N120" s="5"/>
      <c r="O120" s="5"/>
    </row>
    <row r="121" spans="1:15" x14ac:dyDescent="0.25">
      <c r="A121" s="5"/>
      <c r="B121" s="5"/>
      <c r="C121" s="5"/>
      <c r="D121" s="5"/>
      <c r="E121" s="5"/>
      <c r="F121" s="5"/>
      <c r="G121" s="5"/>
      <c r="H121" s="5"/>
      <c r="I121" s="5"/>
      <c r="J121" s="5"/>
      <c r="K121" s="5"/>
      <c r="L121" s="5"/>
      <c r="M121" s="5"/>
      <c r="N121" s="5"/>
      <c r="O121" s="5"/>
    </row>
    <row r="122" spans="1:15" x14ac:dyDescent="0.25">
      <c r="A122" s="5"/>
      <c r="B122" s="5"/>
      <c r="C122" s="5"/>
      <c r="D122" s="5"/>
      <c r="E122" s="5"/>
      <c r="F122" s="5"/>
      <c r="G122" s="5"/>
      <c r="H122" s="5"/>
      <c r="I122" s="5"/>
      <c r="J122" s="5"/>
      <c r="K122" s="5"/>
      <c r="L122" s="5"/>
      <c r="M122" s="5"/>
      <c r="N122" s="5"/>
      <c r="O122" s="5"/>
    </row>
    <row r="123" spans="1:15" x14ac:dyDescent="0.25">
      <c r="A123" s="5"/>
      <c r="B123" s="5"/>
      <c r="C123" s="5"/>
      <c r="D123" s="5"/>
      <c r="E123" s="5"/>
      <c r="F123" s="5"/>
      <c r="G123" s="5"/>
      <c r="H123" s="5"/>
      <c r="I123" s="5"/>
      <c r="J123" s="5"/>
      <c r="K123" s="5"/>
      <c r="L123" s="5"/>
      <c r="M123" s="5"/>
      <c r="N123" s="5"/>
      <c r="O123" s="5"/>
    </row>
    <row r="124" spans="1:15" x14ac:dyDescent="0.25">
      <c r="A124" s="5"/>
      <c r="B124" s="5"/>
      <c r="C124" s="5"/>
      <c r="D124" s="5"/>
      <c r="E124" s="5"/>
      <c r="F124" s="5"/>
      <c r="G124" s="5"/>
      <c r="H124" s="5"/>
      <c r="I124" s="5"/>
      <c r="J124" s="5"/>
      <c r="K124" s="5"/>
      <c r="L124" s="5"/>
      <c r="M124" s="5"/>
      <c r="N124" s="5"/>
      <c r="O124" s="5"/>
    </row>
    <row r="125" spans="1:15" x14ac:dyDescent="0.25">
      <c r="A125" s="5"/>
      <c r="B125" s="5"/>
      <c r="C125" s="5"/>
      <c r="D125" s="5"/>
      <c r="E125" s="5"/>
      <c r="F125" s="5"/>
      <c r="G125" s="5"/>
      <c r="H125" s="5"/>
      <c r="I125" s="5"/>
      <c r="J125" s="5"/>
      <c r="K125" s="5"/>
      <c r="L125" s="5"/>
      <c r="M125" s="5"/>
      <c r="N125" s="5"/>
      <c r="O125" s="5"/>
    </row>
    <row r="126" spans="1:15" x14ac:dyDescent="0.25">
      <c r="A126" s="5"/>
      <c r="B126" s="5"/>
      <c r="C126" s="5"/>
      <c r="D126" s="5"/>
      <c r="E126" s="5"/>
      <c r="F126" s="5"/>
      <c r="G126" s="5"/>
      <c r="H126" s="5"/>
      <c r="I126" s="5"/>
      <c r="J126" s="5"/>
      <c r="K126" s="5"/>
      <c r="L126" s="5"/>
      <c r="M126" s="5"/>
      <c r="N126" s="5"/>
      <c r="O126" s="5"/>
    </row>
    <row r="127" spans="1:15" x14ac:dyDescent="0.25">
      <c r="A127" s="5"/>
      <c r="B127" s="5"/>
      <c r="C127" s="5"/>
      <c r="D127" s="5"/>
      <c r="E127" s="5"/>
      <c r="F127" s="5"/>
      <c r="G127" s="5"/>
      <c r="H127" s="5"/>
      <c r="I127" s="5"/>
      <c r="J127" s="5"/>
      <c r="K127" s="5"/>
      <c r="L127" s="5"/>
      <c r="M127" s="5"/>
      <c r="N127" s="5"/>
      <c r="O127" s="5"/>
    </row>
    <row r="128" spans="1:15" x14ac:dyDescent="0.25">
      <c r="A128" s="5"/>
      <c r="B128" s="5"/>
      <c r="C128" s="5"/>
      <c r="D128" s="5"/>
      <c r="E128" s="5"/>
      <c r="F128" s="5"/>
      <c r="G128" s="5"/>
      <c r="H128" s="5"/>
      <c r="I128" s="5"/>
      <c r="J128" s="5"/>
      <c r="K128" s="5"/>
      <c r="L128" s="5"/>
      <c r="M128" s="5"/>
      <c r="N128" s="5"/>
      <c r="O128" s="5"/>
    </row>
    <row r="129" spans="1:15" x14ac:dyDescent="0.25">
      <c r="A129" s="5"/>
      <c r="B129" s="5"/>
      <c r="C129" s="5"/>
      <c r="D129" s="5"/>
      <c r="E129" s="5"/>
      <c r="F129" s="5"/>
      <c r="G129" s="5"/>
      <c r="H129" s="5"/>
      <c r="I129" s="48"/>
      <c r="J129" s="48"/>
      <c r="K129" s="48"/>
      <c r="L129" s="48"/>
      <c r="M129" s="48"/>
      <c r="N129" s="48"/>
      <c r="O129" s="5"/>
    </row>
    <row r="130" spans="1:15" x14ac:dyDescent="0.25">
      <c r="A130" s="5"/>
      <c r="B130" s="5"/>
      <c r="C130" s="5"/>
      <c r="D130" s="5"/>
      <c r="E130" s="5"/>
      <c r="F130" s="5"/>
      <c r="G130" s="5"/>
      <c r="H130" s="5"/>
      <c r="I130" s="48"/>
      <c r="J130" s="48"/>
      <c r="K130" s="48"/>
      <c r="L130" s="48"/>
      <c r="M130" s="48"/>
      <c r="N130" s="48"/>
      <c r="O130" s="5"/>
    </row>
    <row r="131" spans="1:15" x14ac:dyDescent="0.25">
      <c r="A131" s="5"/>
      <c r="B131" s="48"/>
      <c r="C131" s="48"/>
      <c r="D131" s="48"/>
      <c r="E131" s="48"/>
      <c r="F131" s="5"/>
      <c r="G131" s="5"/>
      <c r="H131" s="5"/>
      <c r="I131" s="48"/>
      <c r="J131" s="48"/>
      <c r="K131" s="48"/>
      <c r="L131" s="48"/>
      <c r="M131" s="48"/>
      <c r="N131" s="48"/>
      <c r="O131" s="5"/>
    </row>
    <row r="132" spans="1:15" x14ac:dyDescent="0.25">
      <c r="A132" s="5"/>
      <c r="B132" s="48"/>
      <c r="C132" s="48"/>
      <c r="D132" s="48"/>
      <c r="E132" s="48"/>
      <c r="F132" s="5"/>
      <c r="G132" s="5"/>
      <c r="H132" s="5"/>
      <c r="I132" s="48"/>
      <c r="J132" s="48"/>
      <c r="K132" s="48"/>
      <c r="L132" s="48"/>
      <c r="M132" s="48"/>
      <c r="N132" s="48"/>
      <c r="O132" s="5"/>
    </row>
    <row r="133" spans="1:15" x14ac:dyDescent="0.25">
      <c r="A133" s="5"/>
      <c r="B133" s="48"/>
      <c r="C133" s="48"/>
      <c r="D133" s="48"/>
      <c r="E133" s="48"/>
      <c r="F133" s="5"/>
      <c r="G133" s="5"/>
      <c r="H133" s="5"/>
      <c r="O133" s="5"/>
    </row>
    <row r="134" spans="1:15" x14ac:dyDescent="0.25">
      <c r="A134" s="5"/>
      <c r="B134" s="48"/>
      <c r="C134" s="48"/>
      <c r="D134" s="48"/>
      <c r="E134" s="48"/>
      <c r="F134" s="5"/>
      <c r="G134" s="5"/>
      <c r="H134" s="5"/>
      <c r="O134" s="5"/>
    </row>
    <row r="135" spans="1:15" x14ac:dyDescent="0.25">
      <c r="A135" s="5"/>
      <c r="F135" s="5"/>
      <c r="G135" s="5"/>
      <c r="H135" s="5"/>
      <c r="O135" s="5"/>
    </row>
    <row r="136" spans="1:15" x14ac:dyDescent="0.25">
      <c r="A136" s="5"/>
      <c r="F136" s="5"/>
      <c r="G136" s="5"/>
      <c r="H136" s="5"/>
      <c r="O136" s="5"/>
    </row>
    <row r="137" spans="1:15" x14ac:dyDescent="0.25">
      <c r="A137" s="5"/>
      <c r="F137" s="5"/>
      <c r="G137" s="5"/>
      <c r="H137" s="5"/>
      <c r="O137" s="5"/>
    </row>
    <row r="138" spans="1:15" x14ac:dyDescent="0.25">
      <c r="A138" s="5"/>
      <c r="F138" s="5"/>
      <c r="G138" s="5"/>
      <c r="H138" s="5"/>
      <c r="O138" s="5"/>
    </row>
    <row r="139" spans="1:15" x14ac:dyDescent="0.25">
      <c r="A139" s="5"/>
      <c r="F139" s="5"/>
      <c r="G139" s="5"/>
      <c r="H139" s="5"/>
      <c r="O139" s="5"/>
    </row>
    <row r="140" spans="1:15" x14ac:dyDescent="0.25">
      <c r="A140" s="5"/>
      <c r="F140" s="5"/>
      <c r="G140" s="5"/>
      <c r="H140" s="5"/>
      <c r="O140" s="5"/>
    </row>
    <row r="141" spans="1:15" x14ac:dyDescent="0.25">
      <c r="A141" s="5"/>
      <c r="F141" s="5"/>
      <c r="G141" s="5"/>
      <c r="H141" s="5"/>
      <c r="O141" s="5"/>
    </row>
    <row r="142" spans="1:15" x14ac:dyDescent="0.25">
      <c r="A142" s="5"/>
      <c r="F142" s="5"/>
      <c r="G142" s="5"/>
      <c r="H142" s="5"/>
      <c r="O142" s="5"/>
    </row>
    <row r="143" spans="1:15" x14ac:dyDescent="0.25">
      <c r="A143" s="5"/>
      <c r="F143" s="5"/>
      <c r="G143" s="5"/>
      <c r="H143" s="5"/>
      <c r="O143" s="5"/>
    </row>
    <row r="144" spans="1:15" x14ac:dyDescent="0.25">
      <c r="A144" s="5"/>
      <c r="F144" s="5"/>
      <c r="G144" s="5"/>
      <c r="H144" s="5"/>
      <c r="O144" s="5"/>
    </row>
    <row r="145" spans="1:15" x14ac:dyDescent="0.25">
      <c r="A145" s="5"/>
      <c r="F145" s="5"/>
      <c r="G145" s="5"/>
      <c r="H145" s="5"/>
      <c r="O145" s="5"/>
    </row>
    <row r="146" spans="1:15" x14ac:dyDescent="0.25">
      <c r="A146" s="5"/>
      <c r="F146" s="5"/>
      <c r="G146" s="5"/>
      <c r="H146" s="5"/>
      <c r="O146" s="5"/>
    </row>
    <row r="147" spans="1:15" x14ac:dyDescent="0.25">
      <c r="A147" s="48"/>
      <c r="F147" s="48"/>
      <c r="G147" s="48"/>
      <c r="H147" s="48"/>
      <c r="O147" s="48"/>
    </row>
    <row r="148" spans="1:15" x14ac:dyDescent="0.25">
      <c r="A148" s="48"/>
      <c r="F148" s="48"/>
      <c r="G148" s="48"/>
      <c r="H148" s="48"/>
      <c r="O148" s="48"/>
    </row>
    <row r="149" spans="1:15" x14ac:dyDescent="0.25">
      <c r="A149" s="48"/>
      <c r="F149" s="48"/>
      <c r="G149" s="48"/>
      <c r="H149" s="48"/>
      <c r="O149" s="48"/>
    </row>
    <row r="150" spans="1:15" x14ac:dyDescent="0.25">
      <c r="A150" s="48"/>
      <c r="F150" s="48"/>
      <c r="G150" s="48"/>
      <c r="H150" s="48"/>
      <c r="O150" s="48"/>
    </row>
  </sheetData>
  <sheetProtection formatCells="0" formatColumns="0" formatRows="0" insertColumns="0" insertRows="0" insertHyperlinks="0" deleteColumns="0" deleteRows="0" sort="0" autoFilter="0" pivotTables="0"/>
  <mergeCells count="117">
    <mergeCell ref="R91:S91"/>
    <mergeCell ref="B90:D90"/>
    <mergeCell ref="E90:G90"/>
    <mergeCell ref="A84:C84"/>
    <mergeCell ref="D84:E84"/>
    <mergeCell ref="F84:G84"/>
    <mergeCell ref="B86:D86"/>
    <mergeCell ref="I87:N87"/>
    <mergeCell ref="B89:D89"/>
    <mergeCell ref="E89:G89"/>
    <mergeCell ref="A82:C82"/>
    <mergeCell ref="D82:E82"/>
    <mergeCell ref="F82:G82"/>
    <mergeCell ref="A83:C83"/>
    <mergeCell ref="D83:E83"/>
    <mergeCell ref="F83:G83"/>
    <mergeCell ref="A80:C80"/>
    <mergeCell ref="D80:E80"/>
    <mergeCell ref="F80:G80"/>
    <mergeCell ref="I80:N80"/>
    <mergeCell ref="P80:U80"/>
    <mergeCell ref="A81:C81"/>
    <mergeCell ref="D81:E81"/>
    <mergeCell ref="F81:G81"/>
    <mergeCell ref="A78:C78"/>
    <mergeCell ref="D78:E78"/>
    <mergeCell ref="F78:G78"/>
    <mergeCell ref="A79:C79"/>
    <mergeCell ref="D79:E79"/>
    <mergeCell ref="F79:G79"/>
    <mergeCell ref="A76:C76"/>
    <mergeCell ref="D76:E76"/>
    <mergeCell ref="F76:G76"/>
    <mergeCell ref="A77:C77"/>
    <mergeCell ref="D77:E77"/>
    <mergeCell ref="F77:G77"/>
    <mergeCell ref="A70:G70"/>
    <mergeCell ref="A71:G71"/>
    <mergeCell ref="B73:G74"/>
    <mergeCell ref="A75:C75"/>
    <mergeCell ref="D75:E75"/>
    <mergeCell ref="F75:G75"/>
    <mergeCell ref="M62:M64"/>
    <mergeCell ref="N62:N64"/>
    <mergeCell ref="O62:O64"/>
    <mergeCell ref="H63:H64"/>
    <mergeCell ref="I63:I64"/>
    <mergeCell ref="B69:F69"/>
    <mergeCell ref="P74:U74"/>
    <mergeCell ref="I74:N74"/>
    <mergeCell ref="A58:G58"/>
    <mergeCell ref="A61:O61"/>
    <mergeCell ref="A62:A64"/>
    <mergeCell ref="B62:C63"/>
    <mergeCell ref="D62:D64"/>
    <mergeCell ref="E62:E64"/>
    <mergeCell ref="F62:F64"/>
    <mergeCell ref="G62:G64"/>
    <mergeCell ref="H62:I62"/>
    <mergeCell ref="J62:J64"/>
    <mergeCell ref="I73:N73"/>
    <mergeCell ref="O50:O52"/>
    <mergeCell ref="H51:H52"/>
    <mergeCell ref="I51:I52"/>
    <mergeCell ref="A57:G57"/>
    <mergeCell ref="A47:G47"/>
    <mergeCell ref="A49:M49"/>
    <mergeCell ref="A50:A52"/>
    <mergeCell ref="B50:C51"/>
    <mergeCell ref="D50:D52"/>
    <mergeCell ref="E50:E52"/>
    <mergeCell ref="F50:F52"/>
    <mergeCell ref="G50:G52"/>
    <mergeCell ref="H50:I50"/>
    <mergeCell ref="J50:J52"/>
    <mergeCell ref="D31:D33"/>
    <mergeCell ref="E31:E33"/>
    <mergeCell ref="F31:F33"/>
    <mergeCell ref="G31:G33"/>
    <mergeCell ref="H31:I31"/>
    <mergeCell ref="J31:J33"/>
    <mergeCell ref="M31:M33"/>
    <mergeCell ref="M50:M52"/>
    <mergeCell ref="N50:N52"/>
    <mergeCell ref="A1:O1"/>
    <mergeCell ref="A3:O3"/>
    <mergeCell ref="A4:O4"/>
    <mergeCell ref="A6:O6"/>
    <mergeCell ref="A8:N9"/>
    <mergeCell ref="A11:N11"/>
    <mergeCell ref="N15:N17"/>
    <mergeCell ref="O15:O17"/>
    <mergeCell ref="I16:I17"/>
    <mergeCell ref="I97:N97"/>
    <mergeCell ref="I103:N103"/>
    <mergeCell ref="B26:F26"/>
    <mergeCell ref="A27:G27"/>
    <mergeCell ref="A28:G28"/>
    <mergeCell ref="A14:O14"/>
    <mergeCell ref="A15:A17"/>
    <mergeCell ref="B15:C16"/>
    <mergeCell ref="D15:D17"/>
    <mergeCell ref="E15:E17"/>
    <mergeCell ref="F15:F17"/>
    <mergeCell ref="G15:G17"/>
    <mergeCell ref="H15:I15"/>
    <mergeCell ref="J15:J17"/>
    <mergeCell ref="M15:M17"/>
    <mergeCell ref="N31:N33"/>
    <mergeCell ref="O31:O33"/>
    <mergeCell ref="H32:H33"/>
    <mergeCell ref="I32:I33"/>
    <mergeCell ref="B45:F45"/>
    <mergeCell ref="A46:G46"/>
    <mergeCell ref="A30:M30"/>
    <mergeCell ref="A31:A33"/>
    <mergeCell ref="B31:C32"/>
  </mergeCells>
  <conditionalFormatting sqref="J76:M78">
    <cfRule type="dataBar" priority="21">
      <dataBar>
        <cfvo type="min"/>
        <cfvo type="max"/>
        <color rgb="FF63C384"/>
      </dataBar>
      <extLst>
        <ext xmlns:x14="http://schemas.microsoft.com/office/spreadsheetml/2009/9/main" uri="{B025F937-C7B1-47D3-B67F-A62EFF666E3E}">
          <x14:id>{0C2D9C55-EAC5-40CB-AF4D-3E4E1CFC09DB}</x14:id>
        </ext>
      </extLst>
    </cfRule>
  </conditionalFormatting>
  <conditionalFormatting sqref="J82:M84">
    <cfRule type="dataBar" priority="20">
      <dataBar>
        <cfvo type="min"/>
        <cfvo type="max"/>
        <color rgb="FF63C384"/>
      </dataBar>
      <extLst>
        <ext xmlns:x14="http://schemas.microsoft.com/office/spreadsheetml/2009/9/main" uri="{B025F937-C7B1-47D3-B67F-A62EFF666E3E}">
          <x14:id>{32F871B9-C9D0-43CF-90A8-616F897B0208}</x14:id>
        </ext>
      </extLst>
    </cfRule>
  </conditionalFormatting>
  <conditionalFormatting sqref="J89:M94">
    <cfRule type="dataBar" priority="18">
      <dataBar>
        <cfvo type="min"/>
        <cfvo type="max"/>
        <color rgb="FFFF555A"/>
      </dataBar>
      <extLst>
        <ext xmlns:x14="http://schemas.microsoft.com/office/spreadsheetml/2009/9/main" uri="{B025F937-C7B1-47D3-B67F-A62EFF666E3E}">
          <x14:id>{FDB53490-9582-4D4D-92FD-E0E6A2E40D4F}</x14:id>
        </ext>
      </extLst>
    </cfRule>
  </conditionalFormatting>
  <conditionalFormatting sqref="J99:M101">
    <cfRule type="dataBar" priority="1">
      <dataBar>
        <cfvo type="min"/>
        <cfvo type="max"/>
        <color rgb="FF63C384"/>
      </dataBar>
      <extLst>
        <ext xmlns:x14="http://schemas.microsoft.com/office/spreadsheetml/2009/9/main" uri="{B025F937-C7B1-47D3-B67F-A62EFF666E3E}">
          <x14:id>{E9C99E96-05BA-477A-BD05-320CDA749CE6}</x14:id>
        </ext>
      </extLst>
    </cfRule>
  </conditionalFormatting>
  <conditionalFormatting sqref="J105:M110">
    <cfRule type="dataBar" priority="3">
      <dataBar>
        <cfvo type="min"/>
        <cfvo type="max"/>
        <color rgb="FF63C384"/>
      </dataBar>
      <extLst>
        <ext xmlns:x14="http://schemas.microsoft.com/office/spreadsheetml/2009/9/main" uri="{B025F937-C7B1-47D3-B67F-A62EFF666E3E}">
          <x14:id>{646741AB-3AD6-420A-B224-2371278AF814}</x14:id>
        </ext>
      </extLst>
    </cfRule>
  </conditionalFormatting>
  <conditionalFormatting sqref="J76:N78">
    <cfRule type="dataBar" priority="11">
      <dataBar>
        <cfvo type="min"/>
        <cfvo type="max"/>
        <color rgb="FF638EC6"/>
      </dataBar>
      <extLst>
        <ext xmlns:x14="http://schemas.microsoft.com/office/spreadsheetml/2009/9/main" uri="{B025F937-C7B1-47D3-B67F-A62EFF666E3E}">
          <x14:id>{E752BFB4-5681-4559-BF62-5B7D9F70632E}</x14:id>
        </ext>
      </extLst>
    </cfRule>
    <cfRule type="colorScale" priority="14">
      <colorScale>
        <cfvo type="min"/>
        <cfvo type="max"/>
        <color rgb="FFFCFCFF"/>
        <color rgb="FF63BE7B"/>
      </colorScale>
    </cfRule>
    <cfRule type="top10" dxfId="0" priority="15" rank="5"/>
    <cfRule type="colorScale" priority="17">
      <colorScale>
        <cfvo type="min"/>
        <cfvo type="percentile" val="50"/>
        <cfvo type="max"/>
        <color rgb="FFF8696B"/>
        <color rgb="FFFFEB84"/>
        <color rgb="FF63BE7B"/>
      </colorScale>
    </cfRule>
  </conditionalFormatting>
  <conditionalFormatting sqref="J89:N94">
    <cfRule type="colorScale" priority="13">
      <colorScale>
        <cfvo type="min"/>
        <cfvo type="max"/>
        <color rgb="FFFCFCFF"/>
        <color rgb="FF63BE7B"/>
      </colorScale>
    </cfRule>
  </conditionalFormatting>
  <conditionalFormatting sqref="J111:N111">
    <cfRule type="colorScale" priority="2">
      <colorScale>
        <cfvo type="min"/>
        <cfvo type="percentile" val="50"/>
        <cfvo type="max"/>
        <color rgb="FFF8696B"/>
        <color rgb="FFFFEB84"/>
        <color rgb="FF63BE7B"/>
      </colorScale>
    </cfRule>
  </conditionalFormatting>
  <conditionalFormatting sqref="K77:K78">
    <cfRule type="dataBar" priority="16">
      <dataBar>
        <cfvo type="min"/>
        <cfvo type="max"/>
        <color rgb="FFFFB628"/>
      </dataBar>
      <extLst>
        <ext xmlns:x14="http://schemas.microsoft.com/office/spreadsheetml/2009/9/main" uri="{B025F937-C7B1-47D3-B67F-A62EFF666E3E}">
          <x14:id>{B790C351-594B-40DB-8B40-062CD5424587}</x14:id>
        </ext>
      </extLst>
    </cfRule>
  </conditionalFormatting>
  <conditionalFormatting sqref="Q76:T78">
    <cfRule type="dataBar" priority="7">
      <dataBar>
        <cfvo type="min"/>
        <cfvo type="max"/>
        <color rgb="FF63C384"/>
      </dataBar>
      <extLst>
        <ext xmlns:x14="http://schemas.microsoft.com/office/spreadsheetml/2009/9/main" uri="{B025F937-C7B1-47D3-B67F-A62EFF666E3E}">
          <x14:id>{2A93203B-F552-4930-9097-E90E0AD2A4DD}</x14:id>
        </ext>
      </extLst>
    </cfRule>
  </conditionalFormatting>
  <conditionalFormatting sqref="Q82:T87 W87">
    <cfRule type="dataBar" priority="22">
      <dataBar>
        <cfvo type="min"/>
        <cfvo type="max"/>
        <color rgb="FF63C384"/>
      </dataBar>
      <extLst>
        <ext xmlns:x14="http://schemas.microsoft.com/office/spreadsheetml/2009/9/main" uri="{B025F937-C7B1-47D3-B67F-A62EFF666E3E}">
          <x14:id>{842A9260-4BBE-4274-8246-43A5E36B0C30}</x14:id>
        </ext>
      </extLst>
    </cfRule>
  </conditionalFormatting>
  <conditionalFormatting sqref="Q88:U88">
    <cfRule type="colorScale" priority="1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scale="45" orientation="landscape" r:id="rId1"/>
  <rowBreaks count="4" manualBreakCount="4">
    <brk id="29" max="14" man="1"/>
    <brk id="48" max="16383" man="1"/>
    <brk id="72" max="14" man="1"/>
    <brk id="112" max="14"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0C2D9C55-EAC5-40CB-AF4D-3E4E1CFC09DB}">
            <x14:dataBar minLength="0" maxLength="100" border="1" negativeBarBorderColorSameAsPositive="0">
              <x14:cfvo type="autoMin"/>
              <x14:cfvo type="autoMax"/>
              <x14:borderColor rgb="FF63C384"/>
              <x14:negativeFillColor rgb="FFFF0000"/>
              <x14:negativeBorderColor rgb="FFFF0000"/>
              <x14:axisColor rgb="FF000000"/>
            </x14:dataBar>
          </x14:cfRule>
          <xm:sqref>J76:M78</xm:sqref>
        </x14:conditionalFormatting>
        <x14:conditionalFormatting xmlns:xm="http://schemas.microsoft.com/office/excel/2006/main">
          <x14:cfRule type="dataBar" id="{32F871B9-C9D0-43CF-90A8-616F897B0208}">
            <x14:dataBar minLength="0" maxLength="100" border="1" negativeBarBorderColorSameAsPositive="0">
              <x14:cfvo type="autoMin"/>
              <x14:cfvo type="autoMax"/>
              <x14:borderColor rgb="FF63C384"/>
              <x14:negativeFillColor rgb="FFFF0000"/>
              <x14:negativeBorderColor rgb="FFFF0000"/>
              <x14:axisColor rgb="FF000000"/>
            </x14:dataBar>
          </x14:cfRule>
          <xm:sqref>J82:M84</xm:sqref>
        </x14:conditionalFormatting>
        <x14:conditionalFormatting xmlns:xm="http://schemas.microsoft.com/office/excel/2006/main">
          <x14:cfRule type="dataBar" id="{FDB53490-9582-4D4D-92FD-E0E6A2E40D4F}">
            <x14:dataBar minLength="0" maxLength="100" border="1" negativeBarBorderColorSameAsPositive="0">
              <x14:cfvo type="autoMin"/>
              <x14:cfvo type="autoMax"/>
              <x14:borderColor rgb="FFFF555A"/>
              <x14:negativeFillColor rgb="FFFF0000"/>
              <x14:negativeBorderColor rgb="FFFF0000"/>
              <x14:axisColor rgb="FF000000"/>
            </x14:dataBar>
          </x14:cfRule>
          <xm:sqref>J89:M94</xm:sqref>
        </x14:conditionalFormatting>
        <x14:conditionalFormatting xmlns:xm="http://schemas.microsoft.com/office/excel/2006/main">
          <x14:cfRule type="dataBar" id="{E9C99E96-05BA-477A-BD05-320CDA749CE6}">
            <x14:dataBar minLength="0" maxLength="100" border="1" negativeBarBorderColorSameAsPositive="0">
              <x14:cfvo type="autoMin"/>
              <x14:cfvo type="autoMax"/>
              <x14:borderColor rgb="FF63C384"/>
              <x14:negativeFillColor rgb="FFFF0000"/>
              <x14:negativeBorderColor rgb="FFFF0000"/>
              <x14:axisColor rgb="FF000000"/>
            </x14:dataBar>
          </x14:cfRule>
          <xm:sqref>J99:M101</xm:sqref>
        </x14:conditionalFormatting>
        <x14:conditionalFormatting xmlns:xm="http://schemas.microsoft.com/office/excel/2006/main">
          <x14:cfRule type="dataBar" id="{646741AB-3AD6-420A-B224-2371278AF814}">
            <x14:dataBar minLength="0" maxLength="100" border="1" negativeBarBorderColorSameAsPositive="0">
              <x14:cfvo type="autoMin"/>
              <x14:cfvo type="autoMax"/>
              <x14:borderColor rgb="FF63C384"/>
              <x14:negativeFillColor rgb="FFFF0000"/>
              <x14:negativeBorderColor rgb="FFFF0000"/>
              <x14:axisColor rgb="FF000000"/>
            </x14:dataBar>
          </x14:cfRule>
          <xm:sqref>J105:M110</xm:sqref>
        </x14:conditionalFormatting>
        <x14:conditionalFormatting xmlns:xm="http://schemas.microsoft.com/office/excel/2006/main">
          <x14:cfRule type="dataBar" id="{E752BFB4-5681-4559-BF62-5B7D9F70632E}">
            <x14:dataBar minLength="0" maxLength="100" border="1" negativeBarBorderColorSameAsPositive="0">
              <x14:cfvo type="autoMin"/>
              <x14:cfvo type="autoMax"/>
              <x14:borderColor rgb="FF638EC6"/>
              <x14:negativeFillColor rgb="FFFF0000"/>
              <x14:negativeBorderColor rgb="FFFF0000"/>
              <x14:axisColor rgb="FF000000"/>
            </x14:dataBar>
          </x14:cfRule>
          <xm:sqref>J76:N78</xm:sqref>
        </x14:conditionalFormatting>
        <x14:conditionalFormatting xmlns:xm="http://schemas.microsoft.com/office/excel/2006/main">
          <x14:cfRule type="dataBar" id="{B790C351-594B-40DB-8B40-062CD5424587}">
            <x14:dataBar minLength="0" maxLength="100" border="1" negativeBarBorderColorSameAsPositive="0">
              <x14:cfvo type="autoMin"/>
              <x14:cfvo type="autoMax"/>
              <x14:borderColor rgb="FFFFB628"/>
              <x14:negativeFillColor rgb="FFFF0000"/>
              <x14:negativeBorderColor rgb="FFFF0000"/>
              <x14:axisColor rgb="FF000000"/>
            </x14:dataBar>
          </x14:cfRule>
          <xm:sqref>K77:K78</xm:sqref>
        </x14:conditionalFormatting>
        <x14:conditionalFormatting xmlns:xm="http://schemas.microsoft.com/office/excel/2006/main">
          <x14:cfRule type="dataBar" id="{2A93203B-F552-4930-9097-E90E0AD2A4DD}">
            <x14:dataBar minLength="0" maxLength="100" border="1" negativeBarBorderColorSameAsPositive="0">
              <x14:cfvo type="autoMin"/>
              <x14:cfvo type="autoMax"/>
              <x14:borderColor rgb="FF63C384"/>
              <x14:negativeFillColor rgb="FFFF0000"/>
              <x14:negativeBorderColor rgb="FFFF0000"/>
              <x14:axisColor rgb="FF000000"/>
            </x14:dataBar>
          </x14:cfRule>
          <xm:sqref>Q76:T78</xm:sqref>
        </x14:conditionalFormatting>
        <x14:conditionalFormatting xmlns:xm="http://schemas.microsoft.com/office/excel/2006/main">
          <x14:cfRule type="dataBar" id="{842A9260-4BBE-4274-8246-43A5E36B0C30}">
            <x14:dataBar minLength="0" maxLength="100" border="1" negativeBarBorderColorSameAsPositive="0">
              <x14:cfvo type="autoMin"/>
              <x14:cfvo type="autoMax"/>
              <x14:borderColor rgb="FF63C384"/>
              <x14:negativeFillColor rgb="FFFF0000"/>
              <x14:negativeBorderColor rgb="FFFF0000"/>
              <x14:axisColor rgb="FF000000"/>
            </x14:dataBar>
          </x14:cfRule>
          <xm:sqref>Q82:T87 W87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JULIO</vt:lpstr>
      <vt:lpstr>AGOSTO</vt:lpstr>
      <vt:lpstr>SEPTIEMBRE</vt:lpstr>
      <vt:lpstr>JULIO-SEPTIEMBRE 2024</vt:lpstr>
      <vt:lpstr>AGOSTO!Área_de_impresión</vt:lpstr>
      <vt:lpstr>JULIO!Área_de_impresión</vt:lpstr>
      <vt:lpstr>'JULIO-SEPTIEMBRE 2024'!Área_de_impresión</vt:lpstr>
      <vt:lpstr>SEPTIEMBRE!Área_de_impresión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Sanquintin</dc:creator>
  <cp:lastModifiedBy>Terina Feliz</cp:lastModifiedBy>
  <cp:lastPrinted>2024-10-09T18:42:37Z</cp:lastPrinted>
  <dcterms:created xsi:type="dcterms:W3CDTF">2024-01-30T17:37:55Z</dcterms:created>
  <dcterms:modified xsi:type="dcterms:W3CDTF">2024-10-10T16:17:09Z</dcterms:modified>
</cp:coreProperties>
</file>