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iaf-my.sharepoint.com/personal/tfeliz_coniaf_gob_do/Documents/Escritorio/TRANSPARENCIA 2024/TRIMEST. OCTUBRE-DICIEMBRE 24/"/>
    </mc:Choice>
  </mc:AlternateContent>
  <xr:revisionPtr revIDLastSave="551" documentId="8_{E69A85AC-5FAF-4BCE-A3C0-A36E7A90F28E}" xr6:coauthVersionLast="47" xr6:coauthVersionMax="47" xr10:uidLastSave="{0851B701-503C-47B7-AA01-5EB4984D34D8}"/>
  <bookViews>
    <workbookView xWindow="-120" yWindow="-120" windowWidth="29040" windowHeight="15720" activeTab="2" xr2:uid="{6BADD5A4-B6CE-4CC2-B55B-0B81200C7392}"/>
  </bookViews>
  <sheets>
    <sheet name="OCTUBRE" sheetId="1" r:id="rId1"/>
    <sheet name="NOVIEMBRE" sheetId="3" r:id="rId2"/>
    <sheet name="DICIEMBRE" sheetId="2" r:id="rId3"/>
    <sheet name="OCTUBRE-DICIEMBRE 2024" sheetId="4" r:id="rId4"/>
  </sheets>
  <definedNames>
    <definedName name="_xlnm.Print_Area" localSheetId="2">DICIEMBRE!$A$1:$O$112</definedName>
    <definedName name="_xlnm.Print_Area" localSheetId="1">NOVIEMBRE!$A$1:$O$111</definedName>
    <definedName name="_xlnm.Print_Area" localSheetId="0">OCTUBRE!$A$1:$O$97</definedName>
    <definedName name="_xlnm.Print_Area" localSheetId="3">'OCTUBRE-DICIEMBRE 2024'!$A$1:$O$112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9" i="2" l="1"/>
  <c r="M89" i="4"/>
  <c r="L89" i="4"/>
  <c r="K89" i="4"/>
  <c r="J89" i="4"/>
  <c r="A25" i="4"/>
  <c r="A24" i="4"/>
  <c r="A23" i="4"/>
  <c r="A22" i="4"/>
  <c r="A21" i="4"/>
  <c r="O21" i="4"/>
  <c r="O22" i="4"/>
  <c r="O23" i="4"/>
  <c r="O24" i="4"/>
  <c r="O25" i="4"/>
  <c r="N22" i="4"/>
  <c r="H22" i="4"/>
  <c r="I22" i="4"/>
  <c r="J22" i="4"/>
  <c r="K22" i="4"/>
  <c r="L22" i="4"/>
  <c r="G22" i="4"/>
  <c r="H25" i="4"/>
  <c r="I25" i="4"/>
  <c r="J25" i="4"/>
  <c r="K25" i="4"/>
  <c r="L25" i="4"/>
  <c r="M25" i="4"/>
  <c r="N25" i="4"/>
  <c r="G25" i="4"/>
  <c r="H23" i="4" l="1"/>
  <c r="I23" i="4"/>
  <c r="J23" i="4"/>
  <c r="K23" i="4"/>
  <c r="L23" i="4"/>
  <c r="M23" i="4"/>
  <c r="N23" i="4"/>
  <c r="G23" i="4"/>
  <c r="H21" i="4"/>
  <c r="I21" i="4"/>
  <c r="J21" i="4"/>
  <c r="K21" i="4"/>
  <c r="L21" i="4"/>
  <c r="M21" i="4"/>
  <c r="N21" i="4"/>
  <c r="G21" i="4"/>
  <c r="H24" i="4"/>
  <c r="I24" i="4"/>
  <c r="J24" i="4"/>
  <c r="K24" i="4"/>
  <c r="L24" i="4"/>
  <c r="M24" i="4"/>
  <c r="N24" i="4"/>
  <c r="G24" i="4"/>
  <c r="H42" i="4"/>
  <c r="I42" i="4"/>
  <c r="J42" i="4"/>
  <c r="K42" i="4"/>
  <c r="L42" i="4"/>
  <c r="M42" i="4"/>
  <c r="N42" i="4"/>
  <c r="G42" i="4"/>
  <c r="O42" i="4"/>
  <c r="H39" i="4"/>
  <c r="I39" i="4"/>
  <c r="J39" i="4"/>
  <c r="K39" i="4"/>
  <c r="L39" i="4"/>
  <c r="M39" i="4"/>
  <c r="O39" i="4" s="1"/>
  <c r="N39" i="4"/>
  <c r="G39" i="4"/>
  <c r="H38" i="4"/>
  <c r="I38" i="4"/>
  <c r="J38" i="4"/>
  <c r="K38" i="4"/>
  <c r="L38" i="4"/>
  <c r="M38" i="4"/>
  <c r="O38" i="4" s="1"/>
  <c r="N38" i="4"/>
  <c r="G38" i="4"/>
  <c r="O34" i="2"/>
  <c r="O31" i="2"/>
  <c r="N41" i="2"/>
  <c r="O32" i="2"/>
  <c r="O35" i="4"/>
  <c r="H35" i="4"/>
  <c r="I35" i="4"/>
  <c r="J35" i="4"/>
  <c r="K35" i="4"/>
  <c r="L35" i="4"/>
  <c r="M35" i="4"/>
  <c r="N35" i="4"/>
  <c r="G35" i="4"/>
  <c r="H34" i="4"/>
  <c r="I34" i="4"/>
  <c r="J34" i="4"/>
  <c r="K34" i="4"/>
  <c r="L34" i="4"/>
  <c r="M34" i="4"/>
  <c r="N34" i="4"/>
  <c r="G34" i="4"/>
  <c r="O34" i="4"/>
  <c r="A42" i="4"/>
  <c r="A39" i="4"/>
  <c r="A38" i="4"/>
  <c r="A35" i="4"/>
  <c r="A34" i="4"/>
  <c r="H53" i="4"/>
  <c r="I53" i="4"/>
  <c r="J53" i="4"/>
  <c r="K53" i="4"/>
  <c r="L53" i="4"/>
  <c r="M53" i="4"/>
  <c r="O53" i="4" s="1"/>
  <c r="N53" i="4"/>
  <c r="G53" i="4"/>
  <c r="A53" i="4"/>
  <c r="F77" i="2"/>
  <c r="G69" i="2"/>
  <c r="O49" i="2"/>
  <c r="F81" i="1"/>
  <c r="N45" i="4" l="1"/>
  <c r="M90" i="1"/>
  <c r="F78" i="1"/>
  <c r="F75" i="3"/>
  <c r="H55" i="4" l="1"/>
  <c r="I55" i="4"/>
  <c r="J55" i="4"/>
  <c r="K55" i="4"/>
  <c r="L55" i="4"/>
  <c r="M55" i="4"/>
  <c r="N55" i="4"/>
  <c r="G55" i="4"/>
  <c r="A55" i="4"/>
  <c r="A56" i="4" s="1"/>
  <c r="H67" i="4"/>
  <c r="I67" i="4"/>
  <c r="J67" i="4"/>
  <c r="K67" i="4"/>
  <c r="L67" i="4"/>
  <c r="M67" i="4"/>
  <c r="N67" i="4"/>
  <c r="G67" i="4"/>
  <c r="H66" i="4"/>
  <c r="I66" i="4"/>
  <c r="J66" i="4"/>
  <c r="K66" i="4"/>
  <c r="L66" i="4"/>
  <c r="M66" i="4"/>
  <c r="N66" i="4"/>
  <c r="G66" i="4"/>
  <c r="A67" i="4"/>
  <c r="H65" i="4"/>
  <c r="I65" i="4"/>
  <c r="K65" i="4"/>
  <c r="L65" i="4"/>
  <c r="M65" i="4"/>
  <c r="N65" i="4"/>
  <c r="G65" i="4"/>
  <c r="A65" i="4"/>
  <c r="A66" i="4"/>
  <c r="G52" i="2"/>
  <c r="K52" i="2"/>
  <c r="L52" i="2"/>
  <c r="M52" i="2"/>
  <c r="K93" i="2" s="1"/>
  <c r="N52" i="2"/>
  <c r="O51" i="2"/>
  <c r="M89" i="2" l="1"/>
  <c r="O18" i="3" l="1"/>
  <c r="M52" i="3"/>
  <c r="M37" i="3"/>
  <c r="M63" i="3"/>
  <c r="G26" i="3"/>
  <c r="J87" i="3"/>
  <c r="N87" i="3" l="1"/>
  <c r="D82" i="3" l="1"/>
  <c r="K87" i="3" l="1"/>
  <c r="L41" i="3" l="1"/>
  <c r="L40" i="3"/>
  <c r="K40" i="3"/>
  <c r="L39" i="3"/>
  <c r="K39" i="3"/>
  <c r="L37" i="3"/>
  <c r="K37" i="3"/>
  <c r="L36" i="3"/>
  <c r="K36" i="3"/>
  <c r="L35" i="3"/>
  <c r="K35" i="3"/>
  <c r="O41" i="3"/>
  <c r="I26" i="3" l="1"/>
  <c r="H26" i="3"/>
  <c r="K42" i="3"/>
  <c r="L42" i="3"/>
  <c r="M42" i="3"/>
  <c r="L91" i="3" s="1"/>
  <c r="N42" i="3"/>
  <c r="O53" i="3"/>
  <c r="O51" i="3"/>
  <c r="O50" i="3"/>
  <c r="N54" i="3"/>
  <c r="M54" i="3"/>
  <c r="L54" i="3"/>
  <c r="K54" i="3"/>
  <c r="I54" i="3"/>
  <c r="H54" i="3"/>
  <c r="O52" i="3"/>
  <c r="O54" i="3" l="1"/>
  <c r="K89" i="3"/>
  <c r="D85" i="1"/>
  <c r="O20" i="1" l="1"/>
  <c r="O70" i="1"/>
  <c r="L79" i="1"/>
  <c r="K79" i="1"/>
  <c r="F85" i="1"/>
  <c r="F84" i="1"/>
  <c r="F83" i="1"/>
  <c r="F82" i="1"/>
  <c r="M70" i="1"/>
  <c r="M56" i="1"/>
  <c r="M44" i="1"/>
  <c r="M24" i="1"/>
  <c r="O68" i="1"/>
  <c r="G56" i="1"/>
  <c r="K56" i="1"/>
  <c r="L56" i="1"/>
  <c r="N56" i="1"/>
  <c r="O56" i="1"/>
  <c r="O55" i="1"/>
  <c r="O54" i="1"/>
  <c r="O53" i="1"/>
  <c r="O52" i="1"/>
  <c r="O37" i="1"/>
  <c r="O38" i="1"/>
  <c r="O39" i="1"/>
  <c r="O40" i="1"/>
  <c r="O41" i="1"/>
  <c r="O42" i="1"/>
  <c r="O24" i="1"/>
  <c r="O26" i="1" s="1"/>
  <c r="J79" i="1" s="1"/>
  <c r="O25" i="1"/>
  <c r="N26" i="1"/>
  <c r="N25" i="1"/>
  <c r="N24" i="1"/>
  <c r="O23" i="1"/>
  <c r="O22" i="1"/>
  <c r="O21" i="1"/>
  <c r="O19" i="1"/>
  <c r="O18" i="1"/>
  <c r="N70" i="1"/>
  <c r="A56" i="1"/>
  <c r="N44" i="1"/>
  <c r="M19" i="1"/>
  <c r="M38" i="1" l="1"/>
  <c r="M23" i="1"/>
  <c r="M55" i="1"/>
  <c r="N54" i="1"/>
  <c r="N52" i="1" l="1"/>
  <c r="L90" i="1"/>
  <c r="J90" i="1"/>
  <c r="G24" i="1"/>
  <c r="J93" i="1" s="1"/>
  <c r="L42" i="1" l="1"/>
  <c r="L41" i="1"/>
  <c r="L40" i="1"/>
  <c r="K40" i="1"/>
  <c r="L39" i="1"/>
  <c r="K39" i="1"/>
  <c r="L38" i="1"/>
  <c r="K38" i="1"/>
  <c r="L37" i="1"/>
  <c r="R80" i="1" l="1"/>
  <c r="S80" i="1"/>
  <c r="T80" i="1"/>
  <c r="Q80" i="1"/>
  <c r="U79" i="1"/>
  <c r="U78" i="1"/>
  <c r="U77" i="1"/>
  <c r="J89" i="2"/>
  <c r="U80" i="1" l="1"/>
  <c r="O20" i="2"/>
  <c r="A19" i="4" l="1"/>
  <c r="O21" i="2"/>
  <c r="O25" i="3"/>
  <c r="O24" i="3"/>
  <c r="O23" i="3"/>
  <c r="O22" i="3"/>
  <c r="O21" i="3"/>
  <c r="O19" i="3"/>
  <c r="A24" i="1"/>
  <c r="J91" i="1" s="1"/>
  <c r="O20" i="3"/>
  <c r="O19" i="2"/>
  <c r="O22" i="2"/>
  <c r="A40" i="4"/>
  <c r="A37" i="4"/>
  <c r="A36" i="4"/>
  <c r="O26" i="3" l="1"/>
  <c r="D84" i="4"/>
  <c r="A26" i="4"/>
  <c r="J90" i="4" s="1"/>
  <c r="O19" i="4"/>
  <c r="O18" i="4"/>
  <c r="G26" i="4"/>
  <c r="K26" i="4"/>
  <c r="O20" i="4"/>
  <c r="H37" i="4"/>
  <c r="I37" i="4"/>
  <c r="J37" i="4"/>
  <c r="M37" i="4"/>
  <c r="N37" i="4"/>
  <c r="G37" i="4"/>
  <c r="H36" i="4"/>
  <c r="I36" i="4"/>
  <c r="M36" i="4"/>
  <c r="N36" i="4"/>
  <c r="G36" i="4"/>
  <c r="O41" i="4"/>
  <c r="H40" i="4"/>
  <c r="I40" i="4"/>
  <c r="J40" i="4"/>
  <c r="N53" i="2"/>
  <c r="M54" i="2"/>
  <c r="K76" i="2"/>
  <c r="K82" i="2" s="1"/>
  <c r="K77" i="2"/>
  <c r="K83" i="2" s="1"/>
  <c r="J52" i="2"/>
  <c r="I52" i="2"/>
  <c r="H52" i="2"/>
  <c r="K91" i="2" s="1"/>
  <c r="A52" i="2"/>
  <c r="O26" i="4" l="1"/>
  <c r="O53" i="2"/>
  <c r="N54" i="2"/>
  <c r="K94" i="2" s="1"/>
  <c r="O36" i="4"/>
  <c r="O37" i="4"/>
  <c r="O50" i="2" l="1"/>
  <c r="O52" i="2" l="1"/>
  <c r="O54" i="2" s="1"/>
  <c r="K73" i="3"/>
  <c r="G54" i="3"/>
  <c r="O35" i="3"/>
  <c r="O38" i="3"/>
  <c r="O37" i="3"/>
  <c r="K78" i="2" l="1"/>
  <c r="K84" i="2" s="1"/>
  <c r="K95" i="2"/>
  <c r="K26" i="3"/>
  <c r="J74" i="3" l="1"/>
  <c r="L26" i="3"/>
  <c r="J73" i="3" s="1"/>
  <c r="O36" i="3"/>
  <c r="A54" i="3"/>
  <c r="K88" i="3" s="1"/>
  <c r="N26" i="3"/>
  <c r="M26" i="3" l="1"/>
  <c r="O39" i="3" l="1"/>
  <c r="O55" i="4" l="1"/>
  <c r="O56" i="4" s="1"/>
  <c r="F77" i="4"/>
  <c r="N89" i="4" s="1"/>
  <c r="H24" i="1"/>
  <c r="O33" i="1" l="1"/>
  <c r="O34" i="1"/>
  <c r="O35" i="1"/>
  <c r="O36" i="1"/>
  <c r="O32" i="1"/>
  <c r="G70" i="1"/>
  <c r="N45" i="1"/>
  <c r="L24" i="1"/>
  <c r="J77" i="1" s="1"/>
  <c r="K24" i="1"/>
  <c r="J78" i="1" s="1"/>
  <c r="O45" i="1" l="1"/>
  <c r="K94" i="1"/>
  <c r="K90" i="1"/>
  <c r="J94" i="1"/>
  <c r="N90" i="1" l="1"/>
  <c r="G44" i="1"/>
  <c r="H44" i="1"/>
  <c r="I44" i="1"/>
  <c r="A44" i="1"/>
  <c r="L91" i="1" s="1"/>
  <c r="K36" i="4"/>
  <c r="L36" i="4"/>
  <c r="L92" i="1" l="1"/>
  <c r="L44" i="1"/>
  <c r="L37" i="4"/>
  <c r="K44" i="1"/>
  <c r="K37" i="4"/>
  <c r="L93" i="1"/>
  <c r="L94" i="1"/>
  <c r="M54" i="4" l="1"/>
  <c r="M43" i="4"/>
  <c r="O43" i="4" s="1"/>
  <c r="O40" i="2"/>
  <c r="M41" i="2"/>
  <c r="N23" i="2"/>
  <c r="O39" i="2"/>
  <c r="O38" i="2"/>
  <c r="O37" i="2"/>
  <c r="O65" i="2"/>
  <c r="O64" i="2"/>
  <c r="O44" i="4"/>
  <c r="J90" i="3"/>
  <c r="G23" i="2"/>
  <c r="J92" i="2" s="1"/>
  <c r="J23" i="2"/>
  <c r="K23" i="2"/>
  <c r="J77" i="2" s="1"/>
  <c r="L23" i="2"/>
  <c r="J76" i="2" s="1"/>
  <c r="J82" i="2" s="1"/>
  <c r="N89" i="2"/>
  <c r="O45" i="4" l="1"/>
  <c r="L93" i="2"/>
  <c r="O65" i="4"/>
  <c r="O69" i="4" s="1"/>
  <c r="O66" i="4"/>
  <c r="M45" i="4"/>
  <c r="L93" i="4" s="1"/>
  <c r="G45" i="4"/>
  <c r="L92" i="4" s="1"/>
  <c r="L26" i="4"/>
  <c r="A41" i="2"/>
  <c r="K45" i="4" l="1"/>
  <c r="A23" i="2"/>
  <c r="J90" i="2" s="1"/>
  <c r="M87" i="3" l="1"/>
  <c r="L87" i="3"/>
  <c r="A42" i="3"/>
  <c r="L88" i="3" s="1"/>
  <c r="O40" i="3"/>
  <c r="L74" i="3" l="1"/>
  <c r="O43" i="1"/>
  <c r="O44" i="1" s="1"/>
  <c r="O69" i="1"/>
  <c r="L77" i="1"/>
  <c r="L81" i="3" l="1"/>
  <c r="L83" i="1"/>
  <c r="K93" i="1" l="1"/>
  <c r="N93" i="1"/>
  <c r="A70" i="1"/>
  <c r="M91" i="1" l="1"/>
  <c r="A69" i="2"/>
  <c r="F78" i="2" s="1"/>
  <c r="A69" i="4" l="1"/>
  <c r="M90" i="4" s="1"/>
  <c r="M92" i="2" l="1"/>
  <c r="A67" i="3" l="1"/>
  <c r="M88" i="3" s="1"/>
  <c r="H69" i="2"/>
  <c r="I69" i="2"/>
  <c r="J69" i="2"/>
  <c r="K69" i="2"/>
  <c r="L69" i="2"/>
  <c r="M69" i="2"/>
  <c r="N69" i="2"/>
  <c r="F82" i="2" s="1"/>
  <c r="T66" i="2"/>
  <c r="U66" i="2" s="1"/>
  <c r="H26" i="4"/>
  <c r="I26" i="4"/>
  <c r="O23" i="2"/>
  <c r="M23" i="2"/>
  <c r="J93" i="2" s="1"/>
  <c r="P66" i="2"/>
  <c r="O66" i="2"/>
  <c r="P35" i="2"/>
  <c r="P63" i="2"/>
  <c r="P67" i="2"/>
  <c r="P68" i="2"/>
  <c r="N67" i="3"/>
  <c r="M67" i="3"/>
  <c r="L67" i="3"/>
  <c r="M73" i="3" s="1"/>
  <c r="M80" i="3" s="1"/>
  <c r="K67" i="3"/>
  <c r="M74" i="3" s="1"/>
  <c r="M81" i="3" s="1"/>
  <c r="J67" i="3"/>
  <c r="I67" i="3"/>
  <c r="H67" i="3"/>
  <c r="G67" i="3"/>
  <c r="M90" i="3" s="1"/>
  <c r="O66" i="3"/>
  <c r="O65" i="3"/>
  <c r="O64" i="3"/>
  <c r="O63" i="3"/>
  <c r="N55" i="3"/>
  <c r="K80" i="3"/>
  <c r="K74" i="3"/>
  <c r="J54" i="3"/>
  <c r="K90" i="3"/>
  <c r="N43" i="3"/>
  <c r="L73" i="3"/>
  <c r="J42" i="3"/>
  <c r="I42" i="3"/>
  <c r="H42" i="3"/>
  <c r="G42" i="3"/>
  <c r="L90" i="3" s="1"/>
  <c r="O34" i="3"/>
  <c r="O42" i="3" s="1"/>
  <c r="N27" i="3"/>
  <c r="O27" i="3" s="1"/>
  <c r="J91" i="3"/>
  <c r="A26" i="3"/>
  <c r="J88" i="3" s="1"/>
  <c r="R25" i="3"/>
  <c r="J18" i="3"/>
  <c r="K81" i="3" l="1"/>
  <c r="N74" i="3"/>
  <c r="F79" i="3"/>
  <c r="N91" i="3" s="1"/>
  <c r="M91" i="3"/>
  <c r="J89" i="3"/>
  <c r="M89" i="3"/>
  <c r="F81" i="2"/>
  <c r="L89" i="3"/>
  <c r="F80" i="3"/>
  <c r="N92" i="3" s="1"/>
  <c r="N68" i="3"/>
  <c r="O68" i="3" s="1"/>
  <c r="O28" i="3"/>
  <c r="J80" i="3"/>
  <c r="M93" i="2"/>
  <c r="L45" i="4"/>
  <c r="L76" i="4" s="1"/>
  <c r="L82" i="4" s="1"/>
  <c r="J81" i="3"/>
  <c r="N81" i="3"/>
  <c r="L80" i="3"/>
  <c r="N73" i="3"/>
  <c r="N80" i="3" s="1"/>
  <c r="F76" i="3"/>
  <c r="N88" i="3" s="1"/>
  <c r="M56" i="3"/>
  <c r="K91" i="3" s="1"/>
  <c r="M28" i="3"/>
  <c r="M44" i="3"/>
  <c r="J26" i="3"/>
  <c r="F77" i="3"/>
  <c r="N89" i="3" s="1"/>
  <c r="M91" i="2"/>
  <c r="O67" i="3"/>
  <c r="M69" i="3"/>
  <c r="N69" i="4"/>
  <c r="M69" i="4"/>
  <c r="M93" i="4" s="1"/>
  <c r="O67" i="4"/>
  <c r="L69" i="4"/>
  <c r="M76" i="4" s="1"/>
  <c r="M82" i="4" s="1"/>
  <c r="R66" i="2"/>
  <c r="F78" i="3"/>
  <c r="N90" i="3" s="1"/>
  <c r="O43" i="3"/>
  <c r="O44" i="3" s="1"/>
  <c r="N44" i="3"/>
  <c r="O55" i="3"/>
  <c r="N56" i="3"/>
  <c r="N28" i="3"/>
  <c r="J92" i="3" s="1"/>
  <c r="N93" i="2" l="1"/>
  <c r="F81" i="4"/>
  <c r="J75" i="3"/>
  <c r="L75" i="3"/>
  <c r="L92" i="3" s="1"/>
  <c r="F81" i="3"/>
  <c r="F82" i="3" s="1"/>
  <c r="F74" i="3" s="1"/>
  <c r="N69" i="3"/>
  <c r="M92" i="3" s="1"/>
  <c r="J76" i="3"/>
  <c r="J83" i="3" s="1"/>
  <c r="O69" i="3"/>
  <c r="O56" i="3"/>
  <c r="L82" i="3"/>
  <c r="L76" i="3"/>
  <c r="L83" i="3" s="1"/>
  <c r="J82" i="3" l="1"/>
  <c r="J93" i="3"/>
  <c r="L93" i="3"/>
  <c r="K75" i="3"/>
  <c r="K92" i="3" s="1"/>
  <c r="M75" i="3"/>
  <c r="M82" i="3" s="1"/>
  <c r="M76" i="3" l="1"/>
  <c r="M83" i="3" s="1"/>
  <c r="N75" i="3"/>
  <c r="N93" i="3" s="1"/>
  <c r="M93" i="3"/>
  <c r="K82" i="3"/>
  <c r="K76" i="3"/>
  <c r="K83" i="3" s="1"/>
  <c r="K93" i="3"/>
  <c r="N70" i="4"/>
  <c r="O70" i="4" s="1"/>
  <c r="K69" i="4"/>
  <c r="M77" i="4" s="1"/>
  <c r="M83" i="4" s="1"/>
  <c r="J69" i="4"/>
  <c r="I69" i="4"/>
  <c r="H69" i="4"/>
  <c r="G69" i="4"/>
  <c r="M92" i="4" s="1"/>
  <c r="O68" i="4"/>
  <c r="N46" i="4"/>
  <c r="O46" i="4" s="1"/>
  <c r="L77" i="4"/>
  <c r="L83" i="4" s="1"/>
  <c r="J45" i="4"/>
  <c r="I45" i="4"/>
  <c r="H45" i="4"/>
  <c r="A45" i="4"/>
  <c r="L90" i="4" s="1"/>
  <c r="N26" i="4"/>
  <c r="M26" i="4"/>
  <c r="J93" i="4" s="1"/>
  <c r="J76" i="4"/>
  <c r="J82" i="4" s="1"/>
  <c r="J77" i="4"/>
  <c r="J26" i="4"/>
  <c r="J92" i="4"/>
  <c r="K89" i="2"/>
  <c r="N70" i="2"/>
  <c r="M76" i="2"/>
  <c r="M82" i="2" s="1"/>
  <c r="M90" i="2"/>
  <c r="O68" i="2"/>
  <c r="O67" i="2"/>
  <c r="O63" i="2"/>
  <c r="N94" i="2"/>
  <c r="L41" i="2"/>
  <c r="K41" i="2"/>
  <c r="L77" i="2" s="1"/>
  <c r="J41" i="2"/>
  <c r="I41" i="2"/>
  <c r="H41" i="2"/>
  <c r="L91" i="2" s="1"/>
  <c r="G41" i="2"/>
  <c r="O36" i="2"/>
  <c r="O35" i="2"/>
  <c r="O41" i="2" s="1"/>
  <c r="N24" i="2"/>
  <c r="N25" i="2" s="1"/>
  <c r="J94" i="2" s="1"/>
  <c r="I23" i="2"/>
  <c r="H23" i="2"/>
  <c r="N82" i="3" l="1"/>
  <c r="N76" i="3"/>
  <c r="N83" i="3" s="1"/>
  <c r="L91" i="4"/>
  <c r="L92" i="2"/>
  <c r="F80" i="2"/>
  <c r="F80" i="4" s="1"/>
  <c r="L76" i="2"/>
  <c r="L82" i="2" s="1"/>
  <c r="O69" i="2"/>
  <c r="J91" i="2"/>
  <c r="M91" i="4"/>
  <c r="H56" i="4"/>
  <c r="I56" i="4"/>
  <c r="J56" i="4"/>
  <c r="L56" i="4"/>
  <c r="K76" i="4" s="1"/>
  <c r="K82" i="4" s="1"/>
  <c r="K56" i="4"/>
  <c r="K77" i="4" s="1"/>
  <c r="K83" i="4" s="1"/>
  <c r="J91" i="4"/>
  <c r="K92" i="2"/>
  <c r="G56" i="4"/>
  <c r="K92" i="4" s="1"/>
  <c r="J83" i="4"/>
  <c r="L90" i="2"/>
  <c r="N27" i="4"/>
  <c r="O27" i="4" s="1"/>
  <c r="O28" i="4" s="1"/>
  <c r="J78" i="4" s="1"/>
  <c r="M47" i="4"/>
  <c r="K90" i="2"/>
  <c r="F79" i="2"/>
  <c r="O71" i="4"/>
  <c r="M78" i="4" s="1"/>
  <c r="M43" i="2"/>
  <c r="M71" i="4"/>
  <c r="M77" i="2"/>
  <c r="M83" i="2" s="1"/>
  <c r="L83" i="2"/>
  <c r="N47" i="4"/>
  <c r="L94" i="4" s="1"/>
  <c r="N71" i="4"/>
  <c r="M94" i="4" s="1"/>
  <c r="M28" i="4"/>
  <c r="O70" i="2"/>
  <c r="N71" i="2"/>
  <c r="M94" i="2" s="1"/>
  <c r="O24" i="2"/>
  <c r="O25" i="2" s="1"/>
  <c r="J78" i="2" s="1"/>
  <c r="M25" i="2"/>
  <c r="N42" i="2"/>
  <c r="M71" i="2"/>
  <c r="N92" i="2" l="1"/>
  <c r="N90" i="2"/>
  <c r="O42" i="2"/>
  <c r="O43" i="2" s="1"/>
  <c r="L78" i="2" s="1"/>
  <c r="F83" i="2"/>
  <c r="F83" i="4" s="1"/>
  <c r="N77" i="4"/>
  <c r="K91" i="4"/>
  <c r="O47" i="4"/>
  <c r="L78" i="4" s="1"/>
  <c r="K90" i="4"/>
  <c r="M95" i="4"/>
  <c r="M56" i="4"/>
  <c r="K93" i="4" s="1"/>
  <c r="N76" i="2"/>
  <c r="N82" i="2" s="1"/>
  <c r="N91" i="2"/>
  <c r="N28" i="4"/>
  <c r="J94" i="4" s="1"/>
  <c r="J83" i="2"/>
  <c r="N77" i="2"/>
  <c r="N83" i="2" s="1"/>
  <c r="O71" i="2"/>
  <c r="M78" i="2" s="1"/>
  <c r="M84" i="2" s="1"/>
  <c r="N43" i="2"/>
  <c r="L94" i="2" s="1"/>
  <c r="I24" i="1"/>
  <c r="J92" i="1" s="1"/>
  <c r="J24" i="1"/>
  <c r="O67" i="1"/>
  <c r="N78" i="2" l="1"/>
  <c r="N84" i="2" s="1"/>
  <c r="L84" i="2"/>
  <c r="L95" i="2"/>
  <c r="F84" i="2"/>
  <c r="M84" i="4"/>
  <c r="M58" i="4"/>
  <c r="N56" i="4"/>
  <c r="J84" i="4"/>
  <c r="J83" i="1"/>
  <c r="J84" i="1"/>
  <c r="M95" i="2"/>
  <c r="J95" i="4"/>
  <c r="M79" i="4"/>
  <c r="M85" i="4" s="1"/>
  <c r="H56" i="1"/>
  <c r="I56" i="1"/>
  <c r="J56" i="1"/>
  <c r="K78" i="1"/>
  <c r="K84" i="1" s="1"/>
  <c r="F76" i="2" l="1"/>
  <c r="N95" i="2"/>
  <c r="K92" i="1"/>
  <c r="L84" i="4"/>
  <c r="L95" i="4"/>
  <c r="N57" i="4"/>
  <c r="O57" i="4" s="1"/>
  <c r="O58" i="4" s="1"/>
  <c r="K78" i="4" s="1"/>
  <c r="N78" i="4" s="1"/>
  <c r="K79" i="2"/>
  <c r="K85" i="2" s="1"/>
  <c r="L79" i="2"/>
  <c r="L85" i="2" s="1"/>
  <c r="K77" i="1"/>
  <c r="M79" i="2"/>
  <c r="M85" i="2" s="1"/>
  <c r="L79" i="4"/>
  <c r="L85" i="4" s="1"/>
  <c r="J84" i="2"/>
  <c r="J79" i="2"/>
  <c r="F82" i="4"/>
  <c r="F84" i="4" s="1"/>
  <c r="L70" i="1"/>
  <c r="M77" i="1" s="1"/>
  <c r="K70" i="1"/>
  <c r="M78" i="1" s="1"/>
  <c r="M84" i="1" s="1"/>
  <c r="J70" i="1"/>
  <c r="I70" i="1"/>
  <c r="H70" i="1"/>
  <c r="M93" i="1"/>
  <c r="O66" i="1"/>
  <c r="O65" i="1"/>
  <c r="M58" i="1"/>
  <c r="N57" i="1"/>
  <c r="L78" i="1"/>
  <c r="J44" i="1"/>
  <c r="M26" i="1"/>
  <c r="M92" i="1" l="1"/>
  <c r="F80" i="1"/>
  <c r="K91" i="1"/>
  <c r="F79" i="1"/>
  <c r="F78" i="4" s="1"/>
  <c r="N95" i="1"/>
  <c r="N58" i="4"/>
  <c r="K94" i="4" s="1"/>
  <c r="N95" i="4"/>
  <c r="N77" i="1"/>
  <c r="N83" i="1" s="1"/>
  <c r="K83" i="1"/>
  <c r="L84" i="1"/>
  <c r="M83" i="1"/>
  <c r="N78" i="1"/>
  <c r="N84" i="1" s="1"/>
  <c r="M46" i="1"/>
  <c r="J85" i="2"/>
  <c r="J95" i="2"/>
  <c r="N79" i="2"/>
  <c r="N85" i="2" s="1"/>
  <c r="N71" i="1"/>
  <c r="M72" i="1"/>
  <c r="N58" i="1"/>
  <c r="K95" i="1" s="1"/>
  <c r="O57" i="1"/>
  <c r="J95" i="1"/>
  <c r="N92" i="1" l="1"/>
  <c r="F79" i="4"/>
  <c r="N91" i="4" s="1"/>
  <c r="N91" i="1"/>
  <c r="N90" i="4"/>
  <c r="M94" i="1"/>
  <c r="O58" i="1"/>
  <c r="K84" i="4"/>
  <c r="K95" i="4"/>
  <c r="N92" i="4"/>
  <c r="N72" i="1"/>
  <c r="M95" i="1" s="1"/>
  <c r="O46" i="1"/>
  <c r="N46" i="1"/>
  <c r="L95" i="1" s="1"/>
  <c r="N76" i="4"/>
  <c r="N82" i="4" s="1"/>
  <c r="J79" i="4"/>
  <c r="O71" i="1"/>
  <c r="O72" i="1" s="1"/>
  <c r="M79" i="1" s="1"/>
  <c r="N79" i="1" l="1"/>
  <c r="N94" i="1"/>
  <c r="F77" i="1"/>
  <c r="K85" i="1"/>
  <c r="J85" i="4"/>
  <c r="L96" i="1"/>
  <c r="L85" i="1"/>
  <c r="L80" i="1"/>
  <c r="L86" i="1" s="1"/>
  <c r="M96" i="1"/>
  <c r="M85" i="1"/>
  <c r="M80" i="1"/>
  <c r="M86" i="1" s="1"/>
  <c r="N83" i="4"/>
  <c r="J85" i="1" l="1"/>
  <c r="J80" i="1"/>
  <c r="J86" i="1" s="1"/>
  <c r="J96" i="1"/>
  <c r="N93" i="4"/>
  <c r="N96" i="1"/>
  <c r="K80" i="1"/>
  <c r="K86" i="1" s="1"/>
  <c r="K96" i="1"/>
  <c r="N94" i="4"/>
  <c r="N80" i="1" l="1"/>
  <c r="N86" i="1" s="1"/>
  <c r="N85" i="1"/>
  <c r="K79" i="4"/>
  <c r="K85" i="4" l="1"/>
  <c r="N79" i="4"/>
  <c r="N85" i="4" s="1"/>
  <c r="N84" i="4"/>
  <c r="F7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tc={94FF534A-8EFD-43B1-8563-6A7155560070}</author>
  </authors>
  <commentList>
    <comment ref="C18" authorId="0" shapeId="0" xr:uid="{94FF534A-8EFD-43B1-8563-6A715556007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tc={B6FFB4F7-5294-4EC8-A722-CF0CF7E33B0A}</author>
    <author>tc={8F53D9BE-0430-49DA-A941-02DD3A3E6A7C}</author>
  </authors>
  <commentList>
    <comment ref="C19" authorId="0" shapeId="0" xr:uid="{B6FFB4F7-5294-4EC8-A722-CF0CF7E33B0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  <comment ref="C22" authorId="1" shapeId="0" xr:uid="{8F53D9BE-0430-49DA-A941-02DD3A3E6A7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tc={63C5CD5F-D1AC-41C5-9649-64F5B130B9EF}</author>
    <author>tc={64327B6A-3D41-4983-B483-6F8930E63076}</author>
  </authors>
  <commentList>
    <comment ref="C18" authorId="0" shapeId="0" xr:uid="{63C5CD5F-D1AC-41C5-9649-64F5B130B9E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  <comment ref="C20" authorId="1" shapeId="0" xr:uid="{64327B6A-3D41-4983-B483-6F8930E630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</commentList>
</comments>
</file>

<file path=xl/sharedStrings.xml><?xml version="1.0" encoding="utf-8"?>
<sst xmlns="http://schemas.openxmlformats.org/spreadsheetml/2006/main" count="1121" uniqueCount="294">
  <si>
    <t>CONSEJO NACIONAL DE INVESTIGACIONES AGROPECUARIAS Y FORESTALES (CONIAF)</t>
  </si>
  <si>
    <t>DIRECCIÓN EJECUTIVA</t>
  </si>
  <si>
    <t>DIVISIÓN DE PLANIFICACIÓN  Y  DESARROLLO</t>
  </si>
  <si>
    <t xml:space="preserve"> EJECUCION MESUAL DE ACTIVIDADES Y PROGRAMA DE TRANSFERENCIA  PROYECTOS DE INVERSIÓN PÚBLICA</t>
  </si>
  <si>
    <t>ACTUALIZACIÓN PARA LA INNOVACIÓN TECNOLÓGICA Y COMPETITIVIDAD AGROALIMENTARIA Y  DE FOMENTO A LA EXPORTACIÓN EN LA REPÚBLICA DOMINICANA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</si>
  <si>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</si>
  <si>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</si>
  <si>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</si>
  <si>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</si>
  <si>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</si>
  <si>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</si>
  <si>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>HORAS de ACTIVIDADES</t>
  </si>
  <si>
    <t>TÉCNICOS BENEFICIADOS</t>
  </si>
  <si>
    <t xml:space="preserve">COSTO LOGÍSTICO       </t>
  </si>
  <si>
    <t xml:space="preserve">COSTO FACILITADORES  </t>
  </si>
  <si>
    <t xml:space="preserve">COSTO TOTAL </t>
  </si>
  <si>
    <t xml:space="preserve"> </t>
  </si>
  <si>
    <t>MUJERES</t>
  </si>
  <si>
    <t xml:space="preserve"> FACILITADORES</t>
  </si>
  <si>
    <t>NOMBRE DE LA ACTIVIDAD</t>
  </si>
  <si>
    <t>HOMBRES</t>
  </si>
  <si>
    <t>COMBUSTIBLE</t>
  </si>
  <si>
    <t>VIATICOS</t>
  </si>
  <si>
    <t>Victor Payano y Maldané Cuello</t>
  </si>
  <si>
    <t>SUB-TOTAL</t>
  </si>
  <si>
    <t>Legislación  ISR (10% sobre costo  facilitadores)</t>
  </si>
  <si>
    <t xml:space="preserve">TOTAL </t>
  </si>
  <si>
    <t xml:space="preserve">DEPARTAMENTO DE REDUCCIÓN DE LA POBREZA RURAL </t>
  </si>
  <si>
    <t xml:space="preserve">HORAS </t>
  </si>
  <si>
    <t xml:space="preserve"> César Montero y Bienvenido Carvajal</t>
  </si>
  <si>
    <t>Juan Valdez</t>
  </si>
  <si>
    <t>TOTAL</t>
  </si>
  <si>
    <t>DEPARTAMENTO DE ACCESO A LAS CIENCIAS MODERNAS</t>
  </si>
  <si>
    <t>Jose Cepeda</t>
  </si>
  <si>
    <t xml:space="preserve">DEPARTAMENTO DE MEDIO AMBIENTE Y RECURSOS NATURALES         </t>
  </si>
  <si>
    <t>HORAS TRANSFE-RENCIA</t>
  </si>
  <si>
    <t>COSTO TOTAL</t>
  </si>
  <si>
    <t>José A. Nova</t>
  </si>
  <si>
    <t>Nisibon, Higuey .</t>
  </si>
  <si>
    <t>San Rafel del Yuma(Batey Baiguà), Higuey</t>
  </si>
  <si>
    <t xml:space="preserve">RESUMEN PROGRAMACIÓN </t>
  </si>
  <si>
    <t>DPTO</t>
  </si>
  <si>
    <t>Agric. Competitiva</t>
  </si>
  <si>
    <t>Ciencias Modernas</t>
  </si>
  <si>
    <t>Podresza Rural</t>
  </si>
  <si>
    <t>Medio Amb. Y Rec. Nat.</t>
  </si>
  <si>
    <t>PRESUPUESTO TOTAL</t>
  </si>
  <si>
    <t>TRANSFERENCIAS</t>
  </si>
  <si>
    <t>COMBUST.</t>
  </si>
  <si>
    <t>INSTALACIÓN Y VISITAS A PARCELAS DE VALIDACIÓN</t>
  </si>
  <si>
    <t>PROYECTOS</t>
  </si>
  <si>
    <t>TECNICOS BENEFICIADOS</t>
  </si>
  <si>
    <t>HORAS DE ACTIVIDAD</t>
  </si>
  <si>
    <t xml:space="preserve">COSTO LOGÍSTICO         (RD$) </t>
  </si>
  <si>
    <t xml:space="preserve">COSTO FACILITADORES (RD$) </t>
  </si>
  <si>
    <t>OTROS COSTOS (Ley ISR)</t>
  </si>
  <si>
    <t xml:space="preserve">COSTO TOTAL      (RD$) </t>
  </si>
  <si>
    <t>Johuan Santos y Alexis Peguero</t>
  </si>
  <si>
    <t>La Vega</t>
  </si>
  <si>
    <t>PRESUPUESTO TOTAL 2024 (RD$)</t>
  </si>
  <si>
    <t>Juan Ramon Cedano Mateo</t>
  </si>
  <si>
    <t>Salon Sosa Nata</t>
  </si>
  <si>
    <t>Miguel Angel Rodriguez</t>
  </si>
  <si>
    <t>Mata Yaya, Provincia Elias Piña</t>
  </si>
  <si>
    <t>Hondo Valle(Elias Piña)</t>
  </si>
  <si>
    <t>Tamayo, Galvan, Bahoruco</t>
  </si>
  <si>
    <t>Elpio Avilès/Angel Adames.</t>
  </si>
  <si>
    <t>5-6/01/24</t>
  </si>
  <si>
    <t>10-11/01/24</t>
  </si>
  <si>
    <r>
      <t>Visita coordinaciòn  Instalacion Parcela de</t>
    </r>
    <r>
      <rPr>
        <b/>
        <sz val="11"/>
        <rFont val="Cambria"/>
        <family val="1"/>
      </rPr>
      <t xml:space="preserve"> Arroz </t>
    </r>
    <r>
      <rPr>
        <sz val="11"/>
        <rFont val="Cambria"/>
        <family val="1"/>
      </rPr>
      <t>.</t>
    </r>
  </si>
  <si>
    <r>
      <t>Visita técnica de seguimiento fitosanitario y realización de la 1ra fertilización de parcela demostrativa y validación de tecnologías, para el control del Piogàn de la</t>
    </r>
    <r>
      <rPr>
        <b/>
        <sz val="11"/>
        <color theme="1"/>
        <rFont val="Cambria"/>
        <family val="1"/>
      </rPr>
      <t xml:space="preserve"> batata, c</t>
    </r>
    <r>
      <rPr>
        <sz val="11"/>
        <color theme="1"/>
        <rFont val="Cambria"/>
        <family val="1"/>
      </rPr>
      <t>on el uso de feromona y Beauveria bassiana.</t>
    </r>
  </si>
  <si>
    <t>Hato mayor del Rey</t>
  </si>
  <si>
    <t>23-24/01/2024</t>
  </si>
  <si>
    <r>
      <t xml:space="preserve">Visita para coordinar el montaje y desarrollo de un “Curso sobre tecnologías de </t>
    </r>
    <r>
      <rPr>
        <b/>
        <sz val="11"/>
        <rFont val="Cambria"/>
        <family val="1"/>
      </rPr>
      <t>cacao</t>
    </r>
    <r>
      <rPr>
        <sz val="11"/>
        <rFont val="Cambria"/>
        <family val="1"/>
      </rPr>
      <t xml:space="preserve"> para Alejandro Maria Nuñezla innovación y competitividad</t>
    </r>
  </si>
  <si>
    <t>Alejandro Maria Nuñez</t>
  </si>
  <si>
    <t>EJECUCION EN VALORES $RD.  NETO</t>
  </si>
  <si>
    <t xml:space="preserve">EJECUCION PORCENTUAL </t>
  </si>
  <si>
    <t xml:space="preserve">PROGRAMACION INDICADORES </t>
  </si>
  <si>
    <t>SEGUIMIENTO</t>
  </si>
  <si>
    <t>BENEFICIARIOS</t>
  </si>
  <si>
    <t>HORAS/ACTV.</t>
  </si>
  <si>
    <t>COSTO LOG.</t>
  </si>
  <si>
    <t>FACILITADORES</t>
  </si>
  <si>
    <t xml:space="preserve"> COSTOFACIL.</t>
  </si>
  <si>
    <t>EJECUCION %  INDICADORES POR DEPARTAMENTOS</t>
  </si>
  <si>
    <t>Julio De Oleo</t>
  </si>
  <si>
    <t>Pedernales</t>
  </si>
  <si>
    <t>Paraiso, Barahona</t>
  </si>
  <si>
    <t>Neyba(Batey 4)</t>
  </si>
  <si>
    <t>27-29 feb.</t>
  </si>
  <si>
    <t xml:space="preserve">EJECUCION PORCENTUAL EN$ RD. </t>
  </si>
  <si>
    <t>Enero-Marzo</t>
  </si>
  <si>
    <t>Juan Santiago, Provincia Elias Piña</t>
  </si>
  <si>
    <t>Tabara Arriba, Azua.</t>
  </si>
  <si>
    <t>Juan  Valdez</t>
  </si>
  <si>
    <r>
      <t>Coordinar y verificar desrrollo , para programacionde cosecha parcela de validacion</t>
    </r>
    <r>
      <rPr>
        <b/>
        <sz val="12"/>
        <rFont val="Cambria"/>
        <family val="1"/>
      </rPr>
      <t xml:space="preserve"> Arroz</t>
    </r>
  </si>
  <si>
    <t xml:space="preserve">Nisibon, Higuey </t>
  </si>
  <si>
    <t>Preparado por:</t>
  </si>
  <si>
    <t>Aprobado por:</t>
  </si>
  <si>
    <t>Ing. Carlos Ml. Sanquintin Beras</t>
  </si>
  <si>
    <t>Dra. Ana Maria Barcelo Larocca</t>
  </si>
  <si>
    <t>Enc. Div. de Planificacion y Desarrollo</t>
  </si>
  <si>
    <t>Directora Ejecutiva</t>
  </si>
  <si>
    <t>Pobreza Rural</t>
  </si>
  <si>
    <t>Neiba</t>
  </si>
  <si>
    <t>Paraíso, Barahona</t>
  </si>
  <si>
    <t>Atiles Peguero</t>
  </si>
  <si>
    <r>
      <t xml:space="preserve">Transferencia tecnológica en la parcela demostrativa de </t>
    </r>
    <r>
      <rPr>
        <b/>
        <sz val="11"/>
        <color theme="1"/>
        <rFont val="Cambria"/>
        <family val="1"/>
      </rPr>
      <t>leche y carne</t>
    </r>
    <r>
      <rPr>
        <sz val="11"/>
        <color theme="1"/>
        <rFont val="Cambria"/>
        <family val="1"/>
      </rPr>
      <t xml:space="preserve"> (parcela de Sanidad). Se realizo la primera desparasitación de los animales con noramectina.</t>
    </r>
  </si>
  <si>
    <t>22-23/04/2024</t>
  </si>
  <si>
    <r>
      <t xml:space="preserve">Visita para la plantación de una parcela demostrativa de tecnologías en el cultivo de </t>
    </r>
    <r>
      <rPr>
        <b/>
        <sz val="11"/>
        <rFont val="Cambria"/>
        <family val="1"/>
      </rPr>
      <t xml:space="preserve">batata </t>
    </r>
  </si>
  <si>
    <t>Las matas de farfan, San Juan</t>
  </si>
  <si>
    <t>San Rafel del Yuma (Batey Baiguà), Higuey</t>
  </si>
  <si>
    <t xml:space="preserve">Elias Piña </t>
  </si>
  <si>
    <t>8-9/06/2024</t>
  </si>
  <si>
    <t>Sobador del Municipio de Hondo Valle, provincia Elias Piña</t>
  </si>
  <si>
    <t xml:space="preserve">Transferencia de tecnología en leche y carne en Neyba: Se realizo una transferencia de tecnologías a varios técnicos y productores de la zona para presentarle los trabajos realizados en la parcela de Leche y Carne </t>
  </si>
  <si>
    <t xml:space="preserve">Se realizó una visita de seguimiento para el cultivo de Leche y carne para la instalación del sistema de Riego en las matas de Farfán, San Juan. </t>
  </si>
  <si>
    <t xml:space="preserve">Las Matas de Farfán, San Juan </t>
  </si>
  <si>
    <t>Abril-Junio</t>
  </si>
  <si>
    <t>Batey 4, Neyba.</t>
  </si>
  <si>
    <t>Neyba</t>
  </si>
  <si>
    <t>.</t>
  </si>
  <si>
    <t>San Juan El cercado</t>
  </si>
  <si>
    <t>Analisis del suelo de aguacate</t>
  </si>
  <si>
    <t>20-21/08/2024</t>
  </si>
  <si>
    <t>La Lanza, Polo, Barahona.</t>
  </si>
  <si>
    <t>Francisco Ceballos Correa</t>
  </si>
  <si>
    <t>Solomon Sosa Nata</t>
  </si>
  <si>
    <t>Johuan Santos y Mauricio Jose</t>
  </si>
  <si>
    <t>PROGRAMACION GASTOS SEPTIEMBRE 2024</t>
  </si>
  <si>
    <t>Julio-Septiembre</t>
  </si>
  <si>
    <t xml:space="preserve">Pedernales </t>
  </si>
  <si>
    <t>Santiago rodriguez</t>
  </si>
  <si>
    <t>San Rafael del Yuma. Higuey</t>
  </si>
  <si>
    <t xml:space="preserve"> Miguel Rodriguez</t>
  </si>
  <si>
    <r>
      <t>Visita  y realizacion de 4ta gira en parcela de validacion para transferencia en el cultivo de</t>
    </r>
    <r>
      <rPr>
        <b/>
        <sz val="12"/>
        <rFont val="Cambria"/>
        <family val="1"/>
      </rPr>
      <t xml:space="preserve"> Arroz </t>
    </r>
    <r>
      <rPr>
        <sz val="12"/>
        <rFont val="Cambria"/>
        <family val="1"/>
      </rPr>
      <t>.</t>
    </r>
  </si>
  <si>
    <r>
      <t>Cosechas parcelas demostrativas de</t>
    </r>
    <r>
      <rPr>
        <b/>
        <sz val="12"/>
        <rFont val="Cambria"/>
        <family val="1"/>
      </rPr>
      <t xml:space="preserve"> Arroz( </t>
    </r>
    <r>
      <rPr>
        <sz val="12"/>
        <rFont val="Cambria"/>
        <family val="1"/>
      </rPr>
      <t>5ta gira tècnica)</t>
    </r>
  </si>
  <si>
    <r>
      <t xml:space="preserve">Visita para coordinar el montaje y desarrollo de un “Curso sobre tecnologías de </t>
    </r>
    <r>
      <rPr>
        <b/>
        <sz val="12"/>
        <rFont val="Cambria"/>
        <family val="1"/>
      </rPr>
      <t>cacao</t>
    </r>
    <r>
      <rPr>
        <sz val="12"/>
        <rFont val="Cambria"/>
        <family val="1"/>
      </rPr>
      <t xml:space="preserve"> para Alejandro Maria Nuñezla innovación y competitividad</t>
    </r>
  </si>
  <si>
    <r>
      <t>Visita Técnica de supervisión y coordinación de las labores culturales en 
la parcela demostrativa de tecnologías para el cultivo de</t>
    </r>
    <r>
      <rPr>
        <b/>
        <sz val="12"/>
        <rFont val="Cambria"/>
        <family val="1"/>
      </rPr>
      <t xml:space="preserve"> batata </t>
    </r>
  </si>
  <si>
    <t>MES: OCTUBRE 2024</t>
  </si>
  <si>
    <t>PRESUPUESTO OCTUBRE 2024</t>
  </si>
  <si>
    <t>EJECUCION OCTUBRE</t>
  </si>
  <si>
    <t>PROGRAMACION  INDICADORES OCTUBRE 2024</t>
  </si>
  <si>
    <t>PROGRAMACION OCTUBRE 2024</t>
  </si>
  <si>
    <t>PRESUPUESTO NOVIEMBRE 2024</t>
  </si>
  <si>
    <t>EJECUCION NOVIEMBRE</t>
  </si>
  <si>
    <t>PROGRAMACION NOVIEMBRE 2024</t>
  </si>
  <si>
    <t>PROGRAMACION  INDICADORES NOVIEMBRE 2024</t>
  </si>
  <si>
    <t>MES: NOVIEMBRE 2024</t>
  </si>
  <si>
    <t>TRIMESTRE: OCTUBRE - DICIEMBRE 2024</t>
  </si>
  <si>
    <t>PRESUPUESTO OCTUBRE - DICIEMBRE 2024</t>
  </si>
  <si>
    <t>PROGRAMACION GASTOS  OCTUBRE - DICIEMBRE 2024</t>
  </si>
  <si>
    <t>PROGRAMACION  INDICADORES OCTUBRE - DICIEMBRE 2024</t>
  </si>
  <si>
    <t>Octubre - Diciembre</t>
  </si>
  <si>
    <t>EJECUCION OCTUBRE - DICIEMBRE 2024</t>
  </si>
  <si>
    <t>24-25/2024</t>
  </si>
  <si>
    <t>Santiago Rodríguez</t>
  </si>
  <si>
    <t>Las Matas de Farfan</t>
  </si>
  <si>
    <t>Neiba (Batey 4)</t>
  </si>
  <si>
    <t>Neiba (el Tanque)</t>
  </si>
  <si>
    <t>San Rafael del Yuma, provincia La Altagracia</t>
  </si>
  <si>
    <t>21-22/10/2024</t>
  </si>
  <si>
    <t>30-31/10/2024</t>
  </si>
  <si>
    <t>Johuan Santos y Mauricio Lopez</t>
  </si>
  <si>
    <t>Ana Mateo y Juan Cedano</t>
  </si>
  <si>
    <t>La vega</t>
  </si>
  <si>
    <t xml:space="preserve">San Juan </t>
  </si>
  <si>
    <t>Tamayo, provincia Bahoruco</t>
  </si>
  <si>
    <t>Hondo Valle, Provincia Elías Piña</t>
  </si>
  <si>
    <t>Barahona</t>
  </si>
  <si>
    <t>Higuey, La Altagracia</t>
  </si>
  <si>
    <t xml:space="preserve"> Tamayo, Bahoruco</t>
  </si>
  <si>
    <t>28-29/10/2024</t>
  </si>
  <si>
    <t>Salomon Sosa</t>
  </si>
  <si>
    <t>Victpor Landa</t>
  </si>
  <si>
    <r>
      <t xml:space="preserve">Visita de seguimiento en la parcela de </t>
    </r>
    <r>
      <rPr>
        <b/>
        <sz val="12"/>
        <rFont val="Cambria"/>
        <family val="1"/>
      </rPr>
      <t>plátano</t>
    </r>
    <r>
      <rPr>
        <sz val="12"/>
        <rFont val="Cambria"/>
        <family val="1"/>
      </rPr>
      <t xml:space="preserve"> para la supervisión de las actividades de fumigación y aplicación de abono orgánico al tronco de la plantación.</t>
    </r>
  </si>
  <si>
    <r>
      <t xml:space="preserve">Se realizó una visita a la parcela de </t>
    </r>
    <r>
      <rPr>
        <b/>
        <sz val="12"/>
        <rFont val="Cambria"/>
        <family val="1"/>
      </rPr>
      <t>aguacate</t>
    </r>
    <r>
      <rPr>
        <sz val="12"/>
        <rFont val="Cambria"/>
        <family val="1"/>
      </rPr>
      <t>, donde se supervisó las actividades que se realizaron.</t>
    </r>
  </si>
  <si>
    <r>
      <t xml:space="preserve">Se realizó una visita  con el propósito de coordinar a logística de la gira tecnica de </t>
    </r>
    <r>
      <rPr>
        <b/>
        <sz val="11"/>
        <rFont val="Cambria"/>
        <family val="1"/>
      </rPr>
      <t>plátano</t>
    </r>
    <r>
      <rPr>
        <sz val="11"/>
        <rFont val="Cambria"/>
        <family val="1"/>
      </rPr>
      <t xml:space="preserve">  y se revisó la presentación realizada por el investigador.</t>
    </r>
  </si>
  <si>
    <r>
      <t xml:space="preserve">Transferencia de tecnologias en el cultivo de </t>
    </r>
    <r>
      <rPr>
        <b/>
        <sz val="12"/>
        <color theme="1"/>
        <rFont val="Cambria"/>
        <family val="1"/>
      </rPr>
      <t>plátano</t>
    </r>
    <r>
      <rPr>
        <sz val="12"/>
        <color theme="1"/>
        <rFont val="Cambria"/>
        <family val="1"/>
      </rPr>
      <t xml:space="preserve"> donde participaron  técnicos que asistieron a la Regional Sur del Ministerio de Agricultura, así como algunos productores lideres de la zona baja del Yaque y de la Costa de Barahona. </t>
    </r>
  </si>
  <si>
    <r>
      <t xml:space="preserve">Se preparo el terreno donde se va a instalar la parcela de transferencia de tecnologías de </t>
    </r>
    <r>
      <rPr>
        <b/>
        <sz val="11"/>
        <rFont val="Cambria"/>
        <family val="1"/>
      </rPr>
      <t>batata.</t>
    </r>
  </si>
  <si>
    <r>
      <t xml:space="preserve">Visita de seguimiento para las parcelas de </t>
    </r>
    <r>
      <rPr>
        <b/>
        <sz val="11"/>
        <color theme="1"/>
        <rFont val="Cambria"/>
        <family val="1"/>
      </rPr>
      <t>habichuela</t>
    </r>
    <r>
      <rPr>
        <sz val="11"/>
        <color theme="1"/>
        <rFont val="Cambria"/>
        <family val="1"/>
      </rPr>
      <t xml:space="preserve"> en San Juan. Nos reunimos con los técnicos Ana Mateo y Juan Ramon Cedano en la Estación Experimental Arroyo Loro. </t>
    </r>
  </si>
  <si>
    <r>
      <t xml:space="preserve">Se realizo la primera cosecha en la parcela demostrativa de </t>
    </r>
    <r>
      <rPr>
        <b/>
        <sz val="11"/>
        <rFont val="Cambria"/>
        <family val="1"/>
      </rPr>
      <t>aji picante.</t>
    </r>
  </si>
  <si>
    <r>
      <t>Viaje de seguimiento en San Juan. Con finalidad de culminar la fase de cotizaciones y avanzar con los preparativos para la siembra de las 4 parcelas de</t>
    </r>
    <r>
      <rPr>
        <b/>
        <sz val="11"/>
        <rFont val="Cambria"/>
        <family val="1"/>
      </rPr>
      <t xml:space="preserve"> habichuelas.</t>
    </r>
  </si>
  <si>
    <r>
      <t xml:space="preserve">Transferencia de tecnologías en el cultivo de cuatro variedades de </t>
    </r>
    <r>
      <rPr>
        <b/>
        <sz val="11"/>
        <rFont val="Cambria"/>
        <family val="1"/>
      </rPr>
      <t>batata:</t>
    </r>
    <r>
      <rPr>
        <sz val="11"/>
        <rFont val="Cambria"/>
        <family val="1"/>
      </rPr>
      <t xml:space="preserve"> Canó Amarilla, Yasentá, Hamada y Montecarlo. Estas variedades fueron cosechadas a los 186 días después de plantadas (ddp). </t>
    </r>
  </si>
  <si>
    <r>
      <t xml:space="preserve">Pago de obreros en el cultivo de </t>
    </r>
    <r>
      <rPr>
        <b/>
        <sz val="12"/>
        <rFont val="Cambria"/>
        <family val="1"/>
      </rPr>
      <t xml:space="preserve">café </t>
    </r>
  </si>
  <si>
    <t>Barahona, polo</t>
  </si>
  <si>
    <t>24-26/10/2024</t>
  </si>
  <si>
    <t>2-3/10/2024</t>
  </si>
  <si>
    <t>9-11/10/2024</t>
  </si>
  <si>
    <t>14-16/10/2024</t>
  </si>
  <si>
    <t>23-25/10/2024</t>
  </si>
  <si>
    <t>Manuel Atiles Peguero</t>
  </si>
  <si>
    <t xml:space="preserve"> -   </t>
  </si>
  <si>
    <r>
      <t>Visita de seguimiento en parcela de validación y transferencia (parcela de</t>
    </r>
    <r>
      <rPr>
        <b/>
        <sz val="11"/>
        <rFont val="Cambria"/>
        <family val="1"/>
      </rPr>
      <t xml:space="preserve"> pasto</t>
    </r>
    <r>
      <rPr>
        <sz val="11"/>
        <rFont val="Cambria"/>
        <family val="1"/>
      </rPr>
      <t>) donde se seleccionó el área para la instalación de la parcela.</t>
    </r>
  </si>
  <si>
    <r>
      <t xml:space="preserve">Visita de seguimiento a (parcela de </t>
    </r>
    <r>
      <rPr>
        <b/>
        <sz val="11"/>
        <rFont val="Times New Roman"/>
        <family val="1"/>
      </rPr>
      <t>pasto</t>
    </r>
    <r>
      <rPr>
        <sz val="11"/>
        <rFont val="Times New Roman"/>
        <family val="1"/>
      </rPr>
      <t>), para observar el estado de los animales, estos en sentido general se observan en muy buenas condiciones y con un elevado porcentaje de preñez.</t>
    </r>
  </si>
  <si>
    <t>Viaje de seguimiento en la parcela demostrativa de ají picante. Se hizo un recorrido para evaluar presencia de plagas o enfermedades en la parcela además se llevaron muestras de suelos  con fines de estudios de laboratorio al CENTA/IDIAF.</t>
  </si>
  <si>
    <t>Batey 4 Neiba</t>
  </si>
  <si>
    <r>
      <t xml:space="preserve"> Se realizó un seguimiento para monitorear el estado de la plantación de</t>
    </r>
    <r>
      <rPr>
        <b/>
        <sz val="12"/>
        <color rgb="FFFF0000"/>
        <rFont val="Cambria"/>
        <family val="1"/>
      </rPr>
      <t xml:space="preserve"> mango</t>
    </r>
    <r>
      <rPr>
        <sz val="12"/>
        <color rgb="FFFF0000"/>
        <rFont val="Cambria"/>
        <family val="1"/>
      </rPr>
      <t xml:space="preserve"> y programó la aplicación de inductor de flotaración (nitrato de potasio) para la primera semana de marzo.</t>
    </r>
  </si>
  <si>
    <r>
      <t>Visita de seguimiento en la parcela demostrativa de tecnologías en el cultivo de cuatro variedades de</t>
    </r>
    <r>
      <rPr>
        <b/>
        <sz val="12"/>
        <color rgb="FFFF0000"/>
        <rFont val="Cambria"/>
        <family val="1"/>
      </rPr>
      <t xml:space="preserve"> batata.</t>
    </r>
    <r>
      <rPr>
        <sz val="12"/>
        <color rgb="FFFF0000"/>
        <rFont val="Cambria"/>
        <family val="1"/>
      </rPr>
      <t xml:space="preserve"> Con el objetivo de observar el desarrollo de la tuberización, entre otras actividades  </t>
    </r>
  </si>
  <si>
    <r>
      <t xml:space="preserve"> Curso sobre tecnologías de </t>
    </r>
    <r>
      <rPr>
        <b/>
        <sz val="12"/>
        <color rgb="FFFF0000"/>
        <rFont val="Cambria"/>
        <family val="1"/>
      </rPr>
      <t>cacao</t>
    </r>
    <r>
      <rPr>
        <sz val="12"/>
        <color rgb="FFFF0000"/>
        <rFont val="Cambria"/>
        <family val="1"/>
      </rPr>
      <t xml:space="preserve"> para la innovación y competitividad</t>
    </r>
  </si>
  <si>
    <r>
      <t>Visita Técnica de supervisión y coordinación de las labores culturales en 
la parcela demostrativa de tecnologías para el cultivo de</t>
    </r>
    <r>
      <rPr>
        <b/>
        <sz val="12"/>
        <color rgb="FFFF0000"/>
        <rFont val="Cambria"/>
        <family val="1"/>
      </rPr>
      <t xml:space="preserve"> batata </t>
    </r>
  </si>
  <si>
    <r>
      <t xml:space="preserve">Visita de seguimiento en parcela de validación y transferencia </t>
    </r>
    <r>
      <rPr>
        <b/>
        <sz val="12"/>
        <rFont val="Cambria"/>
        <family val="1"/>
      </rPr>
      <t>(parcela de pasto)</t>
    </r>
    <r>
      <rPr>
        <sz val="12"/>
        <rFont val="Cambria"/>
        <family val="1"/>
      </rPr>
      <t xml:space="preserve">  para observar el estado de los animales. El molde para la fabricación de los bloques multinutricionales está en un 85% de construcción.
</t>
    </r>
  </si>
  <si>
    <t>08/11/2024:</t>
  </si>
  <si>
    <t>Las Matas de Farfán</t>
  </si>
  <si>
    <r>
      <t xml:space="preserve">Visita de seguimiento a </t>
    </r>
    <r>
      <rPr>
        <b/>
        <sz val="12"/>
        <rFont val="Cambria"/>
        <family val="1"/>
      </rPr>
      <t>(parcela de pasto)</t>
    </r>
    <r>
      <rPr>
        <sz val="12"/>
        <rFont val="Cambria"/>
        <family val="1"/>
      </rPr>
      <t>. El cultivo de guásima se observa con muy buen desarrollo y se espera dar el primer corte a partir del sexto mes que es entre enero y febrero del 2025</t>
    </r>
  </si>
  <si>
    <t xml:space="preserve">09/12/2024: </t>
  </si>
  <si>
    <t xml:space="preserve"> Elías Piña</t>
  </si>
  <si>
    <r>
      <t>Visita de seguimiento en el cultivo de</t>
    </r>
    <r>
      <rPr>
        <b/>
        <sz val="12"/>
        <color theme="1"/>
        <rFont val="Cambria"/>
        <family val="1"/>
      </rPr>
      <t xml:space="preserve"> yuca</t>
    </r>
    <r>
      <rPr>
        <sz val="12"/>
        <color theme="1"/>
        <rFont val="Cambria"/>
        <family val="1"/>
      </rPr>
      <t xml:space="preserve"> en la Confederación Nacional de Mujeres del Campo (CONAMUCA)  donde se observó que ya se reparó la cisterna, el cercado  y se volvieron a hacer los muros para la siembra de las variedades de yucas amargas.
</t>
    </r>
  </si>
  <si>
    <r>
      <t>Visita de seguimiento a</t>
    </r>
    <r>
      <rPr>
        <b/>
        <sz val="12"/>
        <rFont val="Cambria"/>
        <family val="1"/>
      </rPr>
      <t xml:space="preserve"> (parcela de pasto)</t>
    </r>
    <r>
      <rPr>
        <sz val="12"/>
        <rFont val="Cambria"/>
        <family val="1"/>
      </rPr>
      <t xml:space="preserve">. Se observo en el cultivo de guásima un ataque de cochionila (Dactylopius coccus), por lo que se hizo un control y se programo realizar otra inspección para observar la efectividad. </t>
    </r>
  </si>
  <si>
    <r>
      <t xml:space="preserve">Visita de seguimiento en parcela de validación y transferencia </t>
    </r>
    <r>
      <rPr>
        <b/>
        <sz val="12"/>
        <rFont val="Cambria"/>
        <family val="1"/>
      </rPr>
      <t>(parcela de pasto)</t>
    </r>
    <r>
      <rPr>
        <sz val="12"/>
        <rFont val="Cambria"/>
        <family val="1"/>
      </rPr>
      <t xml:space="preserve">  para observar el estado de los animales, estos en sentido general se observan en muy buenas condiciones y con un elevado porcentaje de preñez.  construcción.</t>
    </r>
  </si>
  <si>
    <t>Tanque, Neiba.</t>
  </si>
  <si>
    <r>
      <t xml:space="preserve">Se realizó una visita de seguimiento a la parcela de </t>
    </r>
    <r>
      <rPr>
        <b/>
        <sz val="12"/>
        <rFont val="Cambria"/>
        <family val="1"/>
      </rPr>
      <t>Mango</t>
    </r>
    <r>
      <rPr>
        <sz val="12"/>
        <rFont val="Cambria"/>
        <family val="1"/>
      </rPr>
      <t>,  se coordinó aplicar el madurador de brotes del 22 al 25 de noviembre, por lo tanto, la parcela tendrá tres partes: una con madurador solos, otro con madurador y nitrato de potasio, y una tercera con nitrato de potasio solo.</t>
    </r>
  </si>
  <si>
    <t xml:space="preserve">Santiago Rodríguez </t>
  </si>
  <si>
    <r>
      <t xml:space="preserve">Visita de seguimiento a </t>
    </r>
    <r>
      <rPr>
        <b/>
        <sz val="12"/>
        <rFont val="Cambria"/>
        <family val="1"/>
      </rPr>
      <t>(parcela de pasto)</t>
    </r>
    <r>
      <rPr>
        <sz val="12"/>
        <rFont val="Cambria"/>
        <family val="1"/>
      </rPr>
      <t xml:space="preserve">  para observar el estado de la plantación de guásima. Esta parcela presento un ataque de babosas y fue controlado con un insecticida diazinón. </t>
    </r>
  </si>
  <si>
    <r>
      <t>Transferencia de tecnología en</t>
    </r>
    <r>
      <rPr>
        <b/>
        <sz val="12"/>
        <color theme="1"/>
        <rFont val="Cambria"/>
        <family val="1"/>
      </rPr>
      <t xml:space="preserve"> cacao</t>
    </r>
    <r>
      <rPr>
        <sz val="12"/>
        <color theme="1"/>
        <rFont val="Cambria"/>
        <family val="1"/>
      </rPr>
      <t>, con el curso de “Introducción a la chocolatería fina artesanal” en Paraíso, Barahona, con el objetivo capacitar en este aspecto a la membresía del Núcleo de mujeres de la Cooperativa de Servicios Múltiples del Municipio Paraíso. (COOPAMUPA).</t>
    </r>
  </si>
  <si>
    <r>
      <t>Viaje de seguimiento en la parcela demostrativa de</t>
    </r>
    <r>
      <rPr>
        <b/>
        <sz val="12"/>
        <rFont val="Cambria"/>
        <family val="1"/>
      </rPr>
      <t xml:space="preserve"> ají picante. </t>
    </r>
    <r>
      <rPr>
        <sz val="12"/>
        <rFont val="Cambria"/>
        <family val="1"/>
      </rPr>
      <t xml:space="preserve">La parcela rindió 22.6 quintales, rendimiento que fue satisfacción de todos ya que el cultivo solo tenía 77 días de trasplantado. </t>
    </r>
  </si>
  <si>
    <r>
      <t>Viaje de seguimiento en la parcela demostrativa de</t>
    </r>
    <r>
      <rPr>
        <b/>
        <sz val="12"/>
        <rFont val="Cambria"/>
        <family val="1"/>
      </rPr>
      <t xml:space="preserve"> ají picante</t>
    </r>
    <r>
      <rPr>
        <sz val="12"/>
        <rFont val="Cambria"/>
        <family val="1"/>
      </rPr>
      <t xml:space="preserve">  en compañía de la Lic. Sardis Medrano y de la Ing. Mileida Ferreira, representantes del IDIAF ambas fueron con la finalidad de revisar la condición fitosanitaria del ají y tomar muestras para una charla y día de campo programado para el 27 de noviembre de 2024.</t>
    </r>
  </si>
  <si>
    <r>
      <t>18/11/2024</t>
    </r>
    <r>
      <rPr>
        <sz val="12"/>
        <color theme="0"/>
        <rFont val="Cambria"/>
        <family val="1"/>
      </rPr>
      <t>.</t>
    </r>
  </si>
  <si>
    <t xml:space="preserve">20-21/11/2024: </t>
  </si>
  <si>
    <r>
      <t>27/11/2024</t>
    </r>
    <r>
      <rPr>
        <sz val="12"/>
        <color theme="0"/>
        <rFont val="Cambria"/>
        <family val="1"/>
      </rPr>
      <t>.</t>
    </r>
  </si>
  <si>
    <t>7-9/11/2024</t>
  </si>
  <si>
    <t>Johuan Santos y Mauricio Jose Lopez</t>
  </si>
  <si>
    <t>18-19/11/2024</t>
  </si>
  <si>
    <t>20-22/11/2024</t>
  </si>
  <si>
    <t>HORAS</t>
  </si>
  <si>
    <t>Serdis Medrano</t>
  </si>
  <si>
    <r>
      <t xml:space="preserve">Viaje coordinación para instalación y/o seguimiento de 4 parcelas demostrativas </t>
    </r>
    <r>
      <rPr>
        <b/>
        <sz val="12"/>
        <rFont val="Cambria"/>
        <family val="1"/>
      </rPr>
      <t>habichuela</t>
    </r>
    <r>
      <rPr>
        <sz val="12"/>
        <rFont val="Cambria"/>
        <family val="1"/>
      </rPr>
      <t xml:space="preserve"> en San Juan</t>
    </r>
  </si>
  <si>
    <r>
      <t xml:space="preserve">Transferencia de tecnología en el cultivo de </t>
    </r>
    <r>
      <rPr>
        <b/>
        <sz val="12"/>
        <rFont val="Cambria"/>
        <family val="1"/>
      </rPr>
      <t xml:space="preserve">ají picante </t>
    </r>
    <r>
      <rPr>
        <sz val="12"/>
        <rFont val="Cambria"/>
        <family val="1"/>
      </rPr>
      <t>en la vega en este día se realizaron dos charlas en el Centro Norte del IDIAF</t>
    </r>
  </si>
  <si>
    <t>Visita de supervisión de la tercera cosecha a la parcela transferencia de tecnologías del cultivo de café, donde se obtuvo 382 kg. café uva reducido 173 kg. (despulpado y seco) de café pergamino.</t>
  </si>
  <si>
    <t>6-8/11/2024</t>
  </si>
  <si>
    <t xml:space="preserve"> Hondo Valle, provincia Elías Piña,</t>
  </si>
  <si>
    <t>Visita de seguimiento a la parcela de aguacate. Se observó que las plantas comenzaron a afectarse por exceso humedad en el suelo.</t>
  </si>
  <si>
    <t>Baigua, Municipio de San Rafael de Yuma, Provincia la Altagracia</t>
  </si>
  <si>
    <t>Visita de seguimiento en la parcela de plátano , donde se detectó la presencia de nematodos y sigatoka negra, por lo tanto, se procedió con la aplicación de nematicida y fumigación para el control de plaga y enfermedad detectados respectivamente.</t>
  </si>
  <si>
    <t>Tamayo, Bahoruco.</t>
  </si>
  <si>
    <t>Visita de seguimiento en la parcela de aguacate. Se encontraron afecciones en plantas ubicadas en parcelas de 700 y 300 plantas, por lo que se realizó una fumigación y aplicación de micronutrientes.</t>
  </si>
  <si>
    <t>Hondo Valle, provincia Elías Pina</t>
  </si>
  <si>
    <t>Se realizó una visita de seguimiento a la parcela de batata, ubicada en el municipio de Hondo Valle, Provincia Elías Piña. Se realizo la supervisión del Control químico de malezas y aplicación de herbicida en orilla.</t>
  </si>
  <si>
    <t>14-15/11/2024</t>
  </si>
  <si>
    <t>19-21/11/2024</t>
  </si>
  <si>
    <t>Francisco Ceballos</t>
  </si>
  <si>
    <t>Victor Landa</t>
  </si>
  <si>
    <t>Victor Payano</t>
  </si>
  <si>
    <t>22/11/2024:</t>
  </si>
  <si>
    <t>Paraiso, provincia Barahona</t>
  </si>
  <si>
    <t>Ana Mateo y Juan Ramon Cedano</t>
  </si>
  <si>
    <t xml:space="preserve">Visita de tecnica a la parcela de transferencia de tecnologia en el cultivo de batata para la siembra en la provincia la altagracia. </t>
  </si>
  <si>
    <t>Visita de seguimiento en la parcela de batata para supervisar el porcentaje de germinación obteniéndose un 98 %. Se colocaron trampas con feromonas para evaluar el control del piogan (Cylas spp) en la parcela.</t>
  </si>
  <si>
    <t xml:space="preserve"> Las Lagunas de Nisibón, provincia La Altagracia,</t>
  </si>
  <si>
    <r>
      <t xml:space="preserve">Visita de coordinación para la siembra de una parcela demostrativa de tecnologías en el cultivo de </t>
    </r>
    <r>
      <rPr>
        <b/>
        <sz val="12"/>
        <rFont val="Cambria"/>
        <family val="1"/>
      </rPr>
      <t xml:space="preserve">arroz </t>
    </r>
    <r>
      <rPr>
        <sz val="12"/>
        <rFont val="Cambria"/>
        <family val="1"/>
      </rPr>
      <t>(variedad Robusta).</t>
    </r>
  </si>
  <si>
    <t xml:space="preserve">Elpidio Aviles y Ángel Adames </t>
  </si>
  <si>
    <t xml:space="preserve">Viaje de seguimiento a parcela demostrativa de aji picante. </t>
  </si>
  <si>
    <t>13/12/2024</t>
  </si>
  <si>
    <t xml:space="preserve">La Vega </t>
  </si>
  <si>
    <t>Ana Mateo, Cesarina Medina y Juan Cedano</t>
  </si>
  <si>
    <t>Viaje de seguimiento en las 4 parcela de habichuelas</t>
  </si>
  <si>
    <t>Viaje de seguimiento para instalacion de letreros y trampas anti-insectos en 4 las parcelas demostrativas habichuela</t>
  </si>
  <si>
    <t>3-4/12/2024</t>
  </si>
  <si>
    <t>17-18/12/2024</t>
  </si>
  <si>
    <r>
      <t>Visita coordinaciòn  Instalacion Parcela de</t>
    </r>
    <r>
      <rPr>
        <b/>
        <sz val="12"/>
        <rFont val="Cambria"/>
        <family val="1"/>
      </rPr>
      <t xml:space="preserve"> Arroz </t>
    </r>
    <r>
      <rPr>
        <sz val="12"/>
        <rFont val="Cambria"/>
        <family val="1"/>
      </rPr>
      <t>.</t>
    </r>
  </si>
  <si>
    <r>
      <t xml:space="preserve">Transferencia de tecnologías en el cultivo de cuatro variedades de </t>
    </r>
    <r>
      <rPr>
        <b/>
        <sz val="12"/>
        <rFont val="Cambria"/>
        <family val="1"/>
      </rPr>
      <t>batata:</t>
    </r>
    <r>
      <rPr>
        <sz val="12"/>
        <rFont val="Cambria"/>
        <family val="1"/>
      </rPr>
      <t xml:space="preserve"> Canó Amarilla, Yasentá, Hamada y Montecarlo. Estas variedades fueron cosechadas a los 186 días después de plantadas (ddp). </t>
    </r>
  </si>
  <si>
    <r>
      <t xml:space="preserve">Seguimiento a parcela de </t>
    </r>
    <r>
      <rPr>
        <b/>
        <sz val="12"/>
        <rFont val="Cambria"/>
        <family val="1"/>
      </rPr>
      <t xml:space="preserve">berenjena china </t>
    </r>
  </si>
  <si>
    <t>Elías Piña</t>
  </si>
  <si>
    <r>
      <t xml:space="preserve">Visita de seguimiento en la parcela de </t>
    </r>
    <r>
      <rPr>
        <b/>
        <sz val="12"/>
        <color theme="1"/>
        <rFont val="Cambria"/>
        <family val="1"/>
      </rPr>
      <t>pasto</t>
    </r>
    <r>
      <rPr>
        <sz val="12"/>
        <color theme="1"/>
        <rFont val="Cambria"/>
        <family val="1"/>
      </rPr>
      <t>. Se construyeron bloques multinutricionales y se planifico la desinfección de los corrales con cal viva, para enero del año 2025.</t>
    </r>
  </si>
  <si>
    <r>
      <t xml:space="preserve">Visita de coordinación para la reinstalación de la parcela de transferencia demostrativa en el cultivo de </t>
    </r>
    <r>
      <rPr>
        <b/>
        <sz val="12"/>
        <rFont val="Cambria"/>
        <family val="1"/>
      </rPr>
      <t>yuca,</t>
    </r>
    <r>
      <rPr>
        <sz val="12"/>
        <rFont val="Cambria"/>
        <family val="1"/>
      </rPr>
      <t xml:space="preserve"> pero no fue posible realizar la siembra. En tal sentido se planificó la siembra para la próxima semana.</t>
    </r>
  </si>
  <si>
    <r>
      <t xml:space="preserve">Visita de coordinación para la reinstalación de la parcela de transferencia demostrativa en el cultivo de </t>
    </r>
    <r>
      <rPr>
        <b/>
        <sz val="12"/>
        <rFont val="Cambria"/>
        <family val="1"/>
      </rPr>
      <t>yuca</t>
    </r>
    <r>
      <rPr>
        <sz val="12"/>
        <rFont val="Cambria"/>
        <family val="1"/>
      </rPr>
      <t xml:space="preserve"> en la Confederación Nacional de Mujeres del Campo (CONAMUCA) ubicada en Elías Piña, pero nuevamente no fue posible realizar la siembra. Quedamos a la espera de nos informen para coordinar la siembra de lo contrario la parcela se instalará con otra asociación que la está solicitando.</t>
    </r>
  </si>
  <si>
    <t>11-13/12/2024</t>
  </si>
  <si>
    <t>26-27/12/2024</t>
  </si>
  <si>
    <t xml:space="preserve"> Las Lagunas de Nisibón, provincia La Altagracia</t>
  </si>
  <si>
    <t xml:space="preserve"> César Montero y Salomon Reyes</t>
  </si>
  <si>
    <t>Elias piña</t>
  </si>
  <si>
    <r>
      <t xml:space="preserve">Viaje para colectar en distintas fincas de Moca, provincia de Espaillat, esquejes de </t>
    </r>
    <r>
      <rPr>
        <b/>
        <sz val="12"/>
        <color theme="1"/>
        <rFont val="Cambria"/>
        <family val="1"/>
      </rPr>
      <t>yuca</t>
    </r>
    <r>
      <rPr>
        <sz val="12"/>
        <color theme="1"/>
        <rFont val="Cambria"/>
        <family val="1"/>
      </rPr>
      <t xml:space="preserve"> para siembra en Elias Piña. </t>
    </r>
  </si>
  <si>
    <t xml:space="preserve">A la fecha no hemos recibido informaciones de este departamento. </t>
  </si>
  <si>
    <r>
      <t xml:space="preserve">Visita técnica en el cultivo de </t>
    </r>
    <r>
      <rPr>
        <b/>
        <sz val="11"/>
        <rFont val="Times New Roman"/>
        <family val="1"/>
      </rPr>
      <t>Mango</t>
    </r>
    <r>
      <rPr>
        <sz val="11"/>
        <rFont val="Times New Roman"/>
        <family val="1"/>
      </rPr>
      <t>, se realizó la poda de las plantas, y se programó para los próximos quince días la primera aplicación del madurador de los brotes (Etephon)</t>
    </r>
  </si>
  <si>
    <r>
      <t>Visita de seguimiento a (</t>
    </r>
    <r>
      <rPr>
        <b/>
        <sz val="11"/>
        <rFont val="Times New Roman"/>
        <family val="1"/>
      </rPr>
      <t>parcela de pasto</t>
    </r>
    <r>
      <rPr>
        <sz val="11"/>
        <rFont val="Times New Roman"/>
        <family val="1"/>
      </rPr>
      <t>).  El cultivo de guásima se observa con muy buen desarrollo y se espera dar el primer corte a partir del sexto mes que es entre enero y febrero del 2025.</t>
    </r>
  </si>
  <si>
    <r>
      <t xml:space="preserve">Se realizó una visita de seguimiento a la parcela de </t>
    </r>
    <r>
      <rPr>
        <b/>
        <sz val="12"/>
        <color theme="1"/>
        <rFont val="Cambria"/>
        <family val="1"/>
      </rPr>
      <t>Mango</t>
    </r>
    <r>
      <rPr>
        <sz val="12"/>
        <color theme="1"/>
        <rFont val="Cambria"/>
        <family val="1"/>
      </rPr>
      <t>. Se le entrego el producto para la aplicación del madurador de brote (Etephon).</t>
    </r>
  </si>
  <si>
    <r>
      <t xml:space="preserve">Visita técnica de seguimiento a </t>
    </r>
    <r>
      <rPr>
        <b/>
        <sz val="11"/>
        <rFont val="Times New Roman"/>
        <family val="1"/>
      </rPr>
      <t>(parcela de pasto)</t>
    </r>
    <r>
      <rPr>
        <sz val="11"/>
        <rFont val="Times New Roman"/>
        <family val="1"/>
      </rPr>
      <t xml:space="preserve">. Se culminó la instalación de la parcela con la siembra de las plantas de guásima. 
</t>
    </r>
  </si>
  <si>
    <r>
      <t>Monitoreo del grado de germinacion de</t>
    </r>
    <r>
      <rPr>
        <b/>
        <sz val="12"/>
        <rFont val="Cambria"/>
        <family val="1"/>
      </rPr>
      <t>l guandul</t>
    </r>
    <r>
      <rPr>
        <sz val="12"/>
        <rFont val="Cambria"/>
        <family val="1"/>
      </rPr>
      <t xml:space="preserve"> en la parcela de TT instalada  en la comunidad de Mata Yaya. Monitoreo del control quimico de malezas realizado en la parcela </t>
    </r>
  </si>
  <si>
    <r>
      <t xml:space="preserve"> Visita a Mata Yaya Elias Piña, seguimiento y monitoreo fitosaitario a parcela de validacion y transferencia de tecnologias  del cultivo de </t>
    </r>
    <r>
      <rPr>
        <b/>
        <sz val="12"/>
        <rFont val="Cambria"/>
        <family val="1"/>
      </rPr>
      <t xml:space="preserve">Aguacate </t>
    </r>
    <r>
      <rPr>
        <sz val="12"/>
        <rFont val="Cambria"/>
        <family val="1"/>
      </rPr>
      <t>en Juan Santiago, Hondo Valle.</t>
    </r>
  </si>
  <si>
    <r>
      <t xml:space="preserve">Visita de seguimiento a la parcela de </t>
    </r>
    <r>
      <rPr>
        <b/>
        <sz val="12"/>
        <color theme="1"/>
        <rFont val="Cambria"/>
        <family val="1"/>
      </rPr>
      <t>café</t>
    </r>
    <r>
      <rPr>
        <sz val="12"/>
        <color theme="1"/>
        <rFont val="Cambria"/>
        <family val="1"/>
      </rPr>
      <t>. En esta parcela se observó un buen desarrollo de la etapa fenológica correspondiente a la segunda cosecha.</t>
    </r>
  </si>
  <si>
    <r>
      <t xml:space="preserve">Se realizó una visita  con el propósito de coordinar a logística de la gira tecnica de </t>
    </r>
    <r>
      <rPr>
        <b/>
        <sz val="12"/>
        <rFont val="Cambria"/>
        <family val="1"/>
      </rPr>
      <t>plátano</t>
    </r>
    <r>
      <rPr>
        <sz val="12"/>
        <rFont val="Cambria"/>
        <family val="1"/>
      </rPr>
      <t xml:space="preserve">  y se revisó la presentación realizada por el investigador.</t>
    </r>
  </si>
  <si>
    <r>
      <t xml:space="preserve">Visita de seguimiento a (parcela de </t>
    </r>
    <r>
      <rPr>
        <b/>
        <sz val="12"/>
        <rFont val="Cambria"/>
        <family val="1"/>
      </rPr>
      <t>pasto</t>
    </r>
    <r>
      <rPr>
        <sz val="12"/>
        <rFont val="Cambria"/>
        <family val="1"/>
      </rPr>
      <t>), para observar el estado de los animales, estos en sentido general se observan en muy buenas condiciones y con un elevado porcentaje de preñez.</t>
    </r>
  </si>
  <si>
    <r>
      <t xml:space="preserve">Visita técnica en el cultivo de </t>
    </r>
    <r>
      <rPr>
        <b/>
        <sz val="12"/>
        <rFont val="Cambria"/>
        <family val="1"/>
      </rPr>
      <t>Mango</t>
    </r>
    <r>
      <rPr>
        <sz val="12"/>
        <rFont val="Cambria"/>
        <family val="1"/>
      </rPr>
      <t xml:space="preserve"> en Neiba, se seleccionó la finca de mango y se decidió realizar los tipos de maduración de brotes y observar su impacto en la zona.</t>
    </r>
  </si>
  <si>
    <r>
      <t xml:space="preserve">Se realizó una visita de seguimiento en el cultivo de </t>
    </r>
    <r>
      <rPr>
        <b/>
        <sz val="12"/>
        <rFont val="Cambria"/>
        <family val="1"/>
      </rPr>
      <t>Mango</t>
    </r>
    <r>
      <rPr>
        <sz val="12"/>
        <rFont val="Cambria"/>
        <family val="1"/>
      </rPr>
      <t xml:space="preserve"> en para monitorear el estado de la plantación y se planifico realizar una transferencia con los técnicos del misterio de agricultura </t>
    </r>
  </si>
  <si>
    <r>
      <t xml:space="preserve">Se realizó una visita de seguimiento la parcela de </t>
    </r>
    <r>
      <rPr>
        <b/>
        <sz val="12"/>
        <rFont val="Cambria"/>
        <family val="1"/>
      </rPr>
      <t xml:space="preserve">aguacate </t>
    </r>
    <r>
      <rPr>
        <sz val="12"/>
        <rFont val="Cambria"/>
        <family val="1"/>
      </rPr>
      <t xml:space="preserve"> y se coordinó la transferencia en poda de formación y fertilización</t>
    </r>
  </si>
  <si>
    <r>
      <t xml:space="preserve">Visita técnica en la parcela de </t>
    </r>
    <r>
      <rPr>
        <b/>
        <sz val="12"/>
        <rFont val="Cambria"/>
        <family val="1"/>
      </rPr>
      <t>leche y carne</t>
    </r>
    <r>
      <rPr>
        <sz val="12"/>
        <rFont val="Cambria"/>
        <family val="1"/>
      </rPr>
      <t>. Se inicio con la siembra  de las plantas de guácima</t>
    </r>
  </si>
  <si>
    <r>
      <t>Seguimiento a la parcela de</t>
    </r>
    <r>
      <rPr>
        <b/>
        <sz val="12"/>
        <rFont val="Cambria"/>
        <family val="1"/>
      </rPr>
      <t xml:space="preserve"> yuca</t>
    </r>
    <r>
      <rPr>
        <sz val="12"/>
        <rFont val="Cambria"/>
        <family val="1"/>
      </rPr>
      <t xml:space="preserve"> para observar el estado de las plantas y tomar la decisión de continuar. En este sentido se decidió sembrar nuevamente, para lo cual se va a preparar el terreno </t>
    </r>
  </si>
  <si>
    <r>
      <t xml:space="preserve">Transferencia de tecnología en el cultivo de yuca en Azua, con técnicos y productores donde se les presento los resultados del desarrollo que llevan las dos parcelas de </t>
    </r>
    <r>
      <rPr>
        <b/>
        <sz val="12"/>
        <rFont val="Cambria"/>
        <family val="1"/>
      </rPr>
      <t>yuca</t>
    </r>
  </si>
  <si>
    <r>
      <t>Se realizó una visita al lugar donde se va a instalar la parcela de</t>
    </r>
    <r>
      <rPr>
        <b/>
        <sz val="12"/>
        <rFont val="Cambria"/>
        <family val="1"/>
      </rPr>
      <t xml:space="preserve"> leche y pasto.</t>
    </r>
    <r>
      <rPr>
        <sz val="12"/>
        <rFont val="Cambria"/>
        <family val="1"/>
      </rPr>
      <t xml:space="preserve"> Se coordinó realizar la preparación de la tierra para la siguiente semana y luego instalar el sistema de riego.</t>
    </r>
  </si>
  <si>
    <r>
      <t xml:space="preserve">Analisis del suelo de </t>
    </r>
    <r>
      <rPr>
        <b/>
        <sz val="12"/>
        <color theme="1"/>
        <rFont val="Cambria"/>
        <family val="1"/>
      </rPr>
      <t>aguacate</t>
    </r>
  </si>
  <si>
    <t>MES: DICIEMBRE 2024</t>
  </si>
  <si>
    <t>PRESUPUESTO DICIEMBRE  2024</t>
  </si>
  <si>
    <t>EJECUCION DICIEMBRE 2024</t>
  </si>
  <si>
    <t>PROGRAMACION   INDICADORES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</si>
</sst>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-* #,##0_-;\-* #,##0_-;_-* &quot;-&quot;??_-;_-@_-"/>
    <numFmt numFmtId="167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mbria"/>
      <family val="1"/>
    </font>
    <font>
      <b/>
      <sz val="12"/>
      <name val="Cambria"/>
      <family val="1"/>
    </font>
    <font>
      <b/>
      <u/>
      <sz val="14"/>
      <name val="Cambria"/>
      <family val="1"/>
    </font>
    <font>
      <sz val="11"/>
      <color rgb="FFFF0000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u/>
      <sz val="11"/>
      <name val="Cambria"/>
      <family val="1"/>
    </font>
    <font>
      <b/>
      <sz val="11"/>
      <color rgb="FFFF0000"/>
      <name val="Cambria"/>
      <family val="1"/>
    </font>
    <font>
      <b/>
      <u/>
      <sz val="11"/>
      <color rgb="FFFF0000"/>
      <name val="Cambria"/>
      <family val="1"/>
    </font>
    <font>
      <sz val="11"/>
      <color theme="1"/>
      <name val="Cambria"/>
      <family val="1"/>
    </font>
    <font>
      <sz val="8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3"/>
      <name val="Cambria"/>
      <family val="1"/>
    </font>
    <font>
      <sz val="12"/>
      <name val="Cambria"/>
      <family val="1"/>
    </font>
    <font>
      <b/>
      <sz val="11"/>
      <color rgb="FFFF0000"/>
      <name val="Calibri"/>
      <family val="2"/>
      <scheme val="minor"/>
    </font>
    <font>
      <sz val="11"/>
      <name val="Times New Roman"/>
      <family val="1"/>
    </font>
    <font>
      <sz val="12"/>
      <color rgb="FFFF0000"/>
      <name val="Cambria"/>
      <family val="1"/>
    </font>
    <font>
      <b/>
      <sz val="12"/>
      <color rgb="FFFF0000"/>
      <name val="Cambria"/>
      <family val="1"/>
    </font>
    <font>
      <sz val="12"/>
      <color theme="1"/>
      <name val="Cambria"/>
      <family val="1"/>
    </font>
    <font>
      <b/>
      <u/>
      <sz val="12"/>
      <name val="Cambria"/>
      <family val="1"/>
    </font>
    <font>
      <b/>
      <sz val="12"/>
      <color theme="1"/>
      <name val="Cambria"/>
      <family val="1"/>
    </font>
    <font>
      <b/>
      <u/>
      <sz val="12"/>
      <color rgb="FFFF0000"/>
      <name val="Cambria"/>
      <family val="1"/>
    </font>
    <font>
      <b/>
      <sz val="12"/>
      <color theme="3"/>
      <name val="Cambria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DCE4"/>
        <bgColor rgb="FF000000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1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165" fontId="0" fillId="0" borderId="0" xfId="0" applyNumberFormat="1"/>
    <xf numFmtId="0" fontId="11" fillId="0" borderId="2" xfId="0" applyFont="1" applyBorder="1" applyAlignment="1">
      <alignment vertical="center" wrapText="1"/>
    </xf>
    <xf numFmtId="164" fontId="11" fillId="0" borderId="2" xfId="1" applyFont="1" applyBorder="1" applyAlignment="1">
      <alignment horizontal="right" vertical="center" wrapText="1"/>
    </xf>
    <xf numFmtId="164" fontId="8" fillId="0" borderId="2" xfId="1" applyFont="1" applyBorder="1" applyAlignment="1">
      <alignment horizontal="right" wrapText="1"/>
    </xf>
    <xf numFmtId="164" fontId="9" fillId="0" borderId="2" xfId="1" applyFont="1" applyBorder="1" applyAlignment="1">
      <alignment horizontal="right" wrapText="1"/>
    </xf>
    <xf numFmtId="0" fontId="7" fillId="0" borderId="2" xfId="0" applyFont="1" applyBorder="1" applyAlignment="1">
      <alignment wrapText="1"/>
    </xf>
    <xf numFmtId="164" fontId="7" fillId="0" borderId="2" xfId="1" applyFont="1" applyBorder="1" applyAlignment="1">
      <alignment horizontal="right" wrapText="1"/>
    </xf>
    <xf numFmtId="0" fontId="1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wrapText="1"/>
    </xf>
    <xf numFmtId="4" fontId="12" fillId="2" borderId="0" xfId="0" applyNumberFormat="1" applyFont="1" applyFill="1" applyAlignment="1">
      <alignment horizontal="right" vertical="center" wrapText="1"/>
    </xf>
    <xf numFmtId="43" fontId="12" fillId="2" borderId="0" xfId="0" applyNumberFormat="1" applyFont="1" applyFill="1" applyAlignment="1">
      <alignment horizontal="right"/>
    </xf>
    <xf numFmtId="0" fontId="12" fillId="2" borderId="1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4" fontId="8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wrapText="1"/>
    </xf>
    <xf numFmtId="43" fontId="8" fillId="2" borderId="0" xfId="0" applyNumberFormat="1" applyFont="1" applyFill="1" applyAlignment="1">
      <alignment horizontal="right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4" fontId="8" fillId="0" borderId="0" xfId="0" applyNumberFormat="1" applyFont="1" applyAlignment="1">
      <alignment horizontal="right" wrapText="1"/>
    </xf>
    <xf numFmtId="43" fontId="7" fillId="0" borderId="22" xfId="0" applyNumberFormat="1" applyFont="1" applyBorder="1" applyAlignment="1">
      <alignment horizontal="right" wrapText="1"/>
    </xf>
    <xf numFmtId="4" fontId="7" fillId="0" borderId="23" xfId="0" applyNumberFormat="1" applyFont="1" applyBorder="1" applyAlignment="1">
      <alignment horizontal="right" wrapText="1"/>
    </xf>
    <xf numFmtId="4" fontId="8" fillId="0" borderId="24" xfId="0" applyNumberFormat="1" applyFont="1" applyBorder="1" applyAlignment="1">
      <alignment horizontal="right" wrapText="1"/>
    </xf>
    <xf numFmtId="4" fontId="7" fillId="2" borderId="26" xfId="0" applyNumberFormat="1" applyFont="1" applyFill="1" applyBorder="1" applyAlignment="1">
      <alignment horizontal="right" vertical="center" wrapText="1"/>
    </xf>
    <xf numFmtId="4" fontId="7" fillId="2" borderId="27" xfId="0" applyNumberFormat="1" applyFont="1" applyFill="1" applyBorder="1" applyAlignment="1">
      <alignment horizontal="right" vertical="center" wrapText="1"/>
    </xf>
    <xf numFmtId="4" fontId="8" fillId="0" borderId="28" xfId="0" applyNumberFormat="1" applyFont="1" applyBorder="1" applyAlignment="1">
      <alignment horizontal="right" wrapText="1"/>
    </xf>
    <xf numFmtId="4" fontId="7" fillId="2" borderId="15" xfId="0" applyNumberFormat="1" applyFont="1" applyFill="1" applyBorder="1" applyAlignment="1">
      <alignment horizontal="right" vertical="center" wrapText="1"/>
    </xf>
    <xf numFmtId="4" fontId="7" fillId="2" borderId="30" xfId="0" applyNumberFormat="1" applyFont="1" applyFill="1" applyBorder="1" applyAlignment="1">
      <alignment horizontal="right" vertical="center" wrapText="1"/>
    </xf>
    <xf numFmtId="4" fontId="8" fillId="4" borderId="28" xfId="0" applyNumberFormat="1" applyFont="1" applyFill="1" applyBorder="1" applyAlignment="1">
      <alignment horizontal="right" wrapText="1"/>
    </xf>
    <xf numFmtId="0" fontId="7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6" fillId="0" borderId="0" xfId="0" applyFont="1"/>
    <xf numFmtId="0" fontId="2" fillId="0" borderId="0" xfId="0" applyFont="1"/>
    <xf numFmtId="0" fontId="7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right" vertical="center" wrapText="1"/>
    </xf>
    <xf numFmtId="164" fontId="8" fillId="2" borderId="14" xfId="1" applyFont="1" applyFill="1" applyBorder="1" applyAlignment="1">
      <alignment horizontal="right" vertical="center" wrapText="1"/>
    </xf>
    <xf numFmtId="164" fontId="8" fillId="2" borderId="15" xfId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wrapText="1"/>
    </xf>
    <xf numFmtId="164" fontId="8" fillId="0" borderId="14" xfId="1" applyFont="1" applyBorder="1" applyAlignment="1">
      <alignment horizontal="right" wrapText="1"/>
    </xf>
    <xf numFmtId="0" fontId="11" fillId="2" borderId="15" xfId="0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right" vertical="center" wrapText="1"/>
    </xf>
    <xf numFmtId="164" fontId="8" fillId="2" borderId="15" xfId="1" applyFont="1" applyFill="1" applyBorder="1" applyAlignment="1">
      <alignment horizontal="right" vertical="center" wrapText="1"/>
    </xf>
    <xf numFmtId="0" fontId="5" fillId="5" borderId="0" xfId="0" applyFont="1" applyFill="1" applyAlignment="1">
      <alignment wrapText="1"/>
    </xf>
    <xf numFmtId="0" fontId="9" fillId="6" borderId="3" xfId="0" applyFont="1" applyFill="1" applyBorder="1" applyAlignment="1">
      <alignment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left" vertical="center" wrapText="1"/>
    </xf>
    <xf numFmtId="0" fontId="8" fillId="6" borderId="18" xfId="0" applyFont="1" applyFill="1" applyBorder="1" applyAlignment="1">
      <alignment wrapText="1"/>
    </xf>
    <xf numFmtId="0" fontId="4" fillId="6" borderId="19" xfId="0" applyFont="1" applyFill="1" applyBorder="1" applyAlignment="1">
      <alignment horizontal="left" wrapText="1"/>
    </xf>
    <xf numFmtId="0" fontId="4" fillId="6" borderId="19" xfId="0" applyFont="1" applyFill="1" applyBorder="1" applyAlignment="1">
      <alignment wrapText="1"/>
    </xf>
    <xf numFmtId="4" fontId="4" fillId="6" borderId="20" xfId="0" applyNumberFormat="1" applyFont="1" applyFill="1" applyBorder="1" applyAlignment="1">
      <alignment horizontal="left" wrapText="1"/>
    </xf>
    <xf numFmtId="4" fontId="8" fillId="6" borderId="2" xfId="0" applyNumberFormat="1" applyFont="1" applyFill="1" applyBorder="1" applyAlignment="1">
      <alignment horizontal="left" wrapText="1"/>
    </xf>
    <xf numFmtId="0" fontId="8" fillId="6" borderId="21" xfId="0" applyFont="1" applyFill="1" applyBorder="1" applyAlignment="1">
      <alignment wrapText="1"/>
    </xf>
    <xf numFmtId="0" fontId="8" fillId="6" borderId="25" xfId="0" applyFont="1" applyFill="1" applyBorder="1" applyAlignment="1">
      <alignment horizontal="center" wrapText="1"/>
    </xf>
    <xf numFmtId="0" fontId="8" fillId="6" borderId="29" xfId="0" applyFont="1" applyFill="1" applyBorder="1" applyAlignment="1">
      <alignment wrapText="1"/>
    </xf>
    <xf numFmtId="0" fontId="8" fillId="6" borderId="31" xfId="0" applyFont="1" applyFill="1" applyBorder="1" applyAlignment="1">
      <alignment wrapText="1"/>
    </xf>
    <xf numFmtId="4" fontId="8" fillId="6" borderId="32" xfId="0" applyNumberFormat="1" applyFont="1" applyFill="1" applyBorder="1" applyAlignment="1">
      <alignment horizontal="right" vertical="center" wrapText="1"/>
    </xf>
    <xf numFmtId="4" fontId="8" fillId="6" borderId="33" xfId="0" applyNumberFormat="1" applyFont="1" applyFill="1" applyBorder="1" applyAlignment="1">
      <alignment horizontal="right" vertical="center" wrapText="1"/>
    </xf>
    <xf numFmtId="4" fontId="8" fillId="6" borderId="34" xfId="0" applyNumberFormat="1" applyFont="1" applyFill="1" applyBorder="1" applyAlignment="1">
      <alignment horizontal="right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14" fontId="7" fillId="2" borderId="15" xfId="0" applyNumberFormat="1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164" fontId="8" fillId="2" borderId="28" xfId="1" applyFont="1" applyFill="1" applyBorder="1" applyAlignment="1">
      <alignment horizontal="center" vertical="center" wrapText="1"/>
    </xf>
    <xf numFmtId="164" fontId="8" fillId="2" borderId="28" xfId="1" applyFont="1" applyFill="1" applyBorder="1" applyAlignment="1">
      <alignment horizontal="right"/>
    </xf>
    <xf numFmtId="0" fontId="6" fillId="2" borderId="14" xfId="0" applyFont="1" applyFill="1" applyBorder="1" applyAlignment="1">
      <alignment wrapText="1"/>
    </xf>
    <xf numFmtId="4" fontId="12" fillId="2" borderId="14" xfId="0" applyNumberFormat="1" applyFont="1" applyFill="1" applyBorder="1" applyAlignment="1">
      <alignment horizontal="right" vertical="center" wrapText="1"/>
    </xf>
    <xf numFmtId="164" fontId="12" fillId="2" borderId="14" xfId="1" applyFont="1" applyFill="1" applyBorder="1" applyAlignment="1">
      <alignment horizontal="right" vertical="center" wrapText="1"/>
    </xf>
    <xf numFmtId="0" fontId="10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66" fontId="8" fillId="2" borderId="15" xfId="1" applyNumberFormat="1" applyFont="1" applyFill="1" applyBorder="1" applyAlignment="1">
      <alignment horizontal="center" vertical="center"/>
    </xf>
    <xf numFmtId="164" fontId="8" fillId="2" borderId="15" xfId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right" vertical="center" wrapText="1"/>
    </xf>
    <xf numFmtId="164" fontId="12" fillId="2" borderId="15" xfId="1" applyFont="1" applyFill="1" applyBorder="1" applyAlignment="1">
      <alignment horizontal="right" vertical="center" wrapText="1"/>
    </xf>
    <xf numFmtId="0" fontId="8" fillId="6" borderId="13" xfId="0" applyFont="1" applyFill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0" fontId="14" fillId="0" borderId="15" xfId="0" applyFont="1" applyBorder="1" applyAlignment="1">
      <alignment wrapText="1"/>
    </xf>
    <xf numFmtId="0" fontId="8" fillId="6" borderId="14" xfId="0" applyFont="1" applyFill="1" applyBorder="1" applyAlignment="1">
      <alignment horizontal="center"/>
    </xf>
    <xf numFmtId="164" fontId="8" fillId="2" borderId="14" xfId="1" applyFont="1" applyFill="1" applyBorder="1" applyAlignment="1">
      <alignment horizontal="center"/>
    </xf>
    <xf numFmtId="4" fontId="7" fillId="2" borderId="28" xfId="0" applyNumberFormat="1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10" fontId="7" fillId="0" borderId="0" xfId="0" applyNumberFormat="1" applyFont="1"/>
    <xf numFmtId="10" fontId="7" fillId="2" borderId="0" xfId="0" applyNumberFormat="1" applyFont="1" applyFill="1" applyAlignment="1">
      <alignment wrapText="1"/>
    </xf>
    <xf numFmtId="9" fontId="8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9" fontId="7" fillId="0" borderId="22" xfId="0" applyNumberFormat="1" applyFont="1" applyBorder="1" applyAlignment="1">
      <alignment horizontal="right" wrapText="1"/>
    </xf>
    <xf numFmtId="9" fontId="7" fillId="0" borderId="23" xfId="0" applyNumberFormat="1" applyFont="1" applyBorder="1" applyAlignment="1">
      <alignment horizontal="right" wrapText="1"/>
    </xf>
    <xf numFmtId="9" fontId="8" fillId="0" borderId="24" xfId="0" applyNumberFormat="1" applyFont="1" applyBorder="1" applyAlignment="1">
      <alignment horizontal="right" wrapText="1"/>
    </xf>
    <xf numFmtId="9" fontId="8" fillId="6" borderId="32" xfId="0" applyNumberFormat="1" applyFont="1" applyFill="1" applyBorder="1" applyAlignment="1">
      <alignment horizontal="right" vertical="center" wrapText="1"/>
    </xf>
    <xf numFmtId="9" fontId="8" fillId="6" borderId="33" xfId="0" applyNumberFormat="1" applyFont="1" applyFill="1" applyBorder="1" applyAlignment="1">
      <alignment horizontal="right" vertical="center" wrapText="1"/>
    </xf>
    <xf numFmtId="9" fontId="8" fillId="6" borderId="34" xfId="0" applyNumberFormat="1" applyFont="1" applyFill="1" applyBorder="1" applyAlignment="1">
      <alignment horizontal="right" wrapText="1"/>
    </xf>
    <xf numFmtId="4" fontId="4" fillId="6" borderId="20" xfId="0" applyNumberFormat="1" applyFont="1" applyFill="1" applyBorder="1" applyAlignment="1">
      <alignment horizontal="left"/>
    </xf>
    <xf numFmtId="0" fontId="8" fillId="6" borderId="21" xfId="0" applyFont="1" applyFill="1" applyBorder="1"/>
    <xf numFmtId="0" fontId="8" fillId="6" borderId="25" xfId="0" applyFont="1" applyFill="1" applyBorder="1" applyAlignment="1">
      <alignment horizontal="left"/>
    </xf>
    <xf numFmtId="167" fontId="7" fillId="0" borderId="22" xfId="0" applyNumberFormat="1" applyFont="1" applyBorder="1" applyAlignment="1">
      <alignment horizontal="right" wrapText="1"/>
    </xf>
    <xf numFmtId="3" fontId="8" fillId="6" borderId="32" xfId="0" applyNumberFormat="1" applyFont="1" applyFill="1" applyBorder="1" applyAlignment="1">
      <alignment horizontal="right" vertical="center" wrapText="1"/>
    </xf>
    <xf numFmtId="0" fontId="7" fillId="0" borderId="22" xfId="0" applyFont="1" applyBorder="1" applyAlignment="1">
      <alignment horizontal="right" wrapText="1"/>
    </xf>
    <xf numFmtId="10" fontId="7" fillId="0" borderId="22" xfId="0" applyNumberFormat="1" applyFont="1" applyBorder="1" applyAlignment="1">
      <alignment horizontal="right" wrapText="1"/>
    </xf>
    <xf numFmtId="10" fontId="7" fillId="2" borderId="26" xfId="0" applyNumberFormat="1" applyFont="1" applyFill="1" applyBorder="1" applyAlignment="1">
      <alignment horizontal="right" vertical="center" wrapText="1"/>
    </xf>
    <xf numFmtId="10" fontId="7" fillId="2" borderId="15" xfId="0" applyNumberFormat="1" applyFont="1" applyFill="1" applyBorder="1" applyAlignment="1">
      <alignment horizontal="right" vertical="center" wrapText="1"/>
    </xf>
    <xf numFmtId="10" fontId="8" fillId="6" borderId="32" xfId="0" applyNumberFormat="1" applyFont="1" applyFill="1" applyBorder="1" applyAlignment="1">
      <alignment horizontal="right" vertical="center" wrapText="1"/>
    </xf>
    <xf numFmtId="167" fontId="7" fillId="2" borderId="26" xfId="0" applyNumberFormat="1" applyFont="1" applyFill="1" applyBorder="1" applyAlignment="1">
      <alignment horizontal="right" vertical="center" wrapText="1"/>
    </xf>
    <xf numFmtId="3" fontId="7" fillId="0" borderId="23" xfId="0" applyNumberFormat="1" applyFont="1" applyBorder="1" applyAlignment="1">
      <alignment horizontal="right" wrapText="1"/>
    </xf>
    <xf numFmtId="3" fontId="8" fillId="0" borderId="24" xfId="0" applyNumberFormat="1" applyFont="1" applyBorder="1" applyAlignment="1">
      <alignment horizontal="right" wrapText="1"/>
    </xf>
    <xf numFmtId="9" fontId="7" fillId="2" borderId="26" xfId="0" applyNumberFormat="1" applyFont="1" applyFill="1" applyBorder="1" applyAlignment="1">
      <alignment horizontal="right" vertical="center" wrapText="1"/>
    </xf>
    <xf numFmtId="9" fontId="7" fillId="2" borderId="27" xfId="0" applyNumberFormat="1" applyFont="1" applyFill="1" applyBorder="1" applyAlignment="1">
      <alignment horizontal="right" vertical="center" wrapText="1"/>
    </xf>
    <xf numFmtId="9" fontId="7" fillId="2" borderId="30" xfId="0" applyNumberFormat="1" applyFont="1" applyFill="1" applyBorder="1" applyAlignment="1">
      <alignment horizontal="right" vertical="center" wrapText="1"/>
    </xf>
    <xf numFmtId="10" fontId="8" fillId="6" borderId="33" xfId="0" applyNumberFormat="1" applyFont="1" applyFill="1" applyBorder="1" applyAlignment="1">
      <alignment horizontal="right" vertical="center" wrapText="1"/>
    </xf>
    <xf numFmtId="10" fontId="8" fillId="6" borderId="34" xfId="0" applyNumberFormat="1" applyFont="1" applyFill="1" applyBorder="1" applyAlignment="1">
      <alignment horizontal="right" wrapText="1"/>
    </xf>
    <xf numFmtId="9" fontId="8" fillId="0" borderId="28" xfId="0" applyNumberFormat="1" applyFont="1" applyBorder="1" applyAlignment="1">
      <alignment horizontal="right" wrapText="1" indent="1"/>
    </xf>
    <xf numFmtId="0" fontId="14" fillId="0" borderId="0" xfId="0" applyFont="1" applyAlignment="1">
      <alignment wrapText="1"/>
    </xf>
    <xf numFmtId="4" fontId="4" fillId="6" borderId="20" xfId="0" applyNumberFormat="1" applyFont="1" applyFill="1" applyBorder="1" applyAlignment="1">
      <alignment horizontal="center" wrapText="1"/>
    </xf>
    <xf numFmtId="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3" fontId="10" fillId="0" borderId="0" xfId="0" applyNumberFormat="1" applyFont="1" applyAlignment="1">
      <alignment horizontal="center" vertical="center" wrapText="1"/>
    </xf>
    <xf numFmtId="0" fontId="8" fillId="6" borderId="49" xfId="0" applyFont="1" applyFill="1" applyBorder="1" applyAlignment="1">
      <alignment wrapText="1"/>
    </xf>
    <xf numFmtId="0" fontId="4" fillId="6" borderId="50" xfId="0" applyFont="1" applyFill="1" applyBorder="1" applyAlignment="1">
      <alignment horizontal="left" wrapText="1"/>
    </xf>
    <xf numFmtId="0" fontId="4" fillId="6" borderId="50" xfId="0" applyFont="1" applyFill="1" applyBorder="1" applyAlignment="1">
      <alignment wrapText="1"/>
    </xf>
    <xf numFmtId="4" fontId="4" fillId="6" borderId="51" xfId="0" applyNumberFormat="1" applyFont="1" applyFill="1" applyBorder="1" applyAlignment="1">
      <alignment horizontal="left" wrapText="1"/>
    </xf>
    <xf numFmtId="4" fontId="8" fillId="6" borderId="14" xfId="0" applyNumberFormat="1" applyFont="1" applyFill="1" applyBorder="1" applyAlignment="1">
      <alignment horizontal="left" wrapText="1"/>
    </xf>
    <xf numFmtId="0" fontId="17" fillId="0" borderId="0" xfId="0" applyFont="1"/>
    <xf numFmtId="43" fontId="8" fillId="0" borderId="0" xfId="0" applyNumberFormat="1" applyFont="1" applyAlignment="1">
      <alignment horizontal="right"/>
    </xf>
    <xf numFmtId="0" fontId="7" fillId="0" borderId="15" xfId="0" applyFont="1" applyBorder="1" applyAlignment="1">
      <alignment horizontal="center" vertical="center"/>
    </xf>
    <xf numFmtId="4" fontId="7" fillId="0" borderId="15" xfId="0" applyNumberFormat="1" applyFont="1" applyBorder="1" applyAlignment="1">
      <alignment horizontal="center" vertical="center"/>
    </xf>
    <xf numFmtId="43" fontId="7" fillId="0" borderId="15" xfId="2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14" fontId="7" fillId="0" borderId="15" xfId="0" applyNumberFormat="1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4" fontId="7" fillId="0" borderId="28" xfId="0" applyNumberFormat="1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9" fontId="8" fillId="0" borderId="22" xfId="0" applyNumberFormat="1" applyFont="1" applyBorder="1" applyAlignment="1">
      <alignment horizontal="right" wrapText="1"/>
    </xf>
    <xf numFmtId="0" fontId="7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4" fillId="6" borderId="19" xfId="0" applyFont="1" applyFill="1" applyBorder="1"/>
    <xf numFmtId="0" fontId="7" fillId="6" borderId="46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164" fontId="8" fillId="2" borderId="22" xfId="1" applyFont="1" applyFill="1" applyBorder="1" applyAlignment="1">
      <alignment horizontal="center" vertical="center"/>
    </xf>
    <xf numFmtId="164" fontId="8" fillId="2" borderId="24" xfId="1" applyFont="1" applyFill="1" applyBorder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7" fillId="0" borderId="0" xfId="2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7" fillId="0" borderId="26" xfId="0" applyFont="1" applyBorder="1" applyAlignment="1">
      <alignment horizontal="right" vertical="center" wrapText="1"/>
    </xf>
    <xf numFmtId="167" fontId="7" fillId="0" borderId="26" xfId="0" applyNumberFormat="1" applyFont="1" applyBorder="1" applyAlignment="1">
      <alignment horizontal="right" vertical="center" wrapText="1"/>
    </xf>
    <xf numFmtId="3" fontId="7" fillId="0" borderId="27" xfId="0" applyNumberFormat="1" applyFont="1" applyBorder="1" applyAlignment="1">
      <alignment horizontal="right" vertical="center" wrapText="1"/>
    </xf>
    <xf numFmtId="43" fontId="7" fillId="0" borderId="26" xfId="1" applyNumberFormat="1" applyFont="1" applyFill="1" applyBorder="1" applyAlignment="1">
      <alignment horizontal="right" vertical="center" wrapText="1"/>
    </xf>
    <xf numFmtId="4" fontId="7" fillId="0" borderId="27" xfId="0" applyNumberFormat="1" applyFont="1" applyBorder="1" applyAlignment="1">
      <alignment horizontal="right" vertical="center" wrapText="1"/>
    </xf>
    <xf numFmtId="43" fontId="7" fillId="0" borderId="15" xfId="1" applyNumberFormat="1" applyFont="1" applyFill="1" applyBorder="1" applyAlignment="1">
      <alignment horizontal="right" vertical="center" wrapText="1"/>
    </xf>
    <xf numFmtId="4" fontId="7" fillId="0" borderId="15" xfId="0" applyNumberFormat="1" applyFont="1" applyBorder="1" applyAlignment="1">
      <alignment horizontal="right" vertical="center" wrapText="1"/>
    </xf>
    <xf numFmtId="4" fontId="7" fillId="0" borderId="30" xfId="0" applyNumberFormat="1" applyFont="1" applyBorder="1" applyAlignment="1">
      <alignment horizontal="right" vertical="center" wrapText="1"/>
    </xf>
    <xf numFmtId="4" fontId="7" fillId="0" borderId="26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4" fontId="10" fillId="0" borderId="15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justify" vertical="justify" wrapText="1"/>
    </xf>
    <xf numFmtId="14" fontId="7" fillId="0" borderId="42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top" wrapText="1"/>
    </xf>
    <xf numFmtId="14" fontId="20" fillId="2" borderId="22" xfId="0" applyNumberFormat="1" applyFont="1" applyFill="1" applyBorder="1" applyAlignment="1">
      <alignment horizontal="center" vertical="center" wrapText="1"/>
    </xf>
    <xf numFmtId="14" fontId="20" fillId="2" borderId="15" xfId="0" applyNumberFormat="1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25" fillId="0" borderId="0" xfId="0" applyFont="1"/>
    <xf numFmtId="164" fontId="4" fillId="0" borderId="0" xfId="1" applyFont="1" applyBorder="1" applyAlignment="1">
      <alignment horizontal="center"/>
    </xf>
    <xf numFmtId="44" fontId="25" fillId="0" borderId="0" xfId="3" applyFont="1"/>
    <xf numFmtId="0" fontId="26" fillId="5" borderId="0" xfId="0" applyFont="1" applyFill="1" applyAlignment="1">
      <alignment horizontal="center" wrapText="1"/>
    </xf>
    <xf numFmtId="0" fontId="23" fillId="0" borderId="0" xfId="0" applyFont="1"/>
    <xf numFmtId="0" fontId="20" fillId="0" borderId="0" xfId="0" applyFont="1" applyAlignment="1">
      <alignment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20" fillId="6" borderId="22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top" wrapText="1"/>
    </xf>
    <xf numFmtId="0" fontId="20" fillId="0" borderId="22" xfId="0" applyFont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/>
    </xf>
    <xf numFmtId="4" fontId="20" fillId="0" borderId="22" xfId="0" applyNumberFormat="1" applyFont="1" applyBorder="1" applyAlignment="1">
      <alignment horizontal="center" vertical="center"/>
    </xf>
    <xf numFmtId="4" fontId="20" fillId="2" borderId="22" xfId="0" applyNumberFormat="1" applyFont="1" applyFill="1" applyBorder="1" applyAlignment="1">
      <alignment horizontal="center" vertical="center"/>
    </xf>
    <xf numFmtId="4" fontId="25" fillId="0" borderId="0" xfId="0" applyNumberFormat="1" applyFont="1"/>
    <xf numFmtId="0" fontId="20" fillId="6" borderId="15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4" fontId="20" fillId="0" borderId="15" xfId="0" applyNumberFormat="1" applyFont="1" applyBorder="1" applyAlignment="1">
      <alignment horizontal="center" vertical="center"/>
    </xf>
    <xf numFmtId="4" fontId="20" fillId="2" borderId="15" xfId="0" applyNumberFormat="1" applyFont="1" applyFill="1" applyBorder="1" applyAlignment="1">
      <alignment horizontal="center" vertical="center"/>
    </xf>
    <xf numFmtId="0" fontId="20" fillId="0" borderId="22" xfId="0" applyFont="1" applyBorder="1" applyAlignment="1">
      <alignment horizontal="justify" vertical="top"/>
    </xf>
    <xf numFmtId="0" fontId="25" fillId="0" borderId="15" xfId="0" applyFont="1" applyBorder="1" applyAlignment="1">
      <alignment horizontal="justify" vertical="top"/>
    </xf>
    <xf numFmtId="4" fontId="20" fillId="0" borderId="15" xfId="0" quotePrefix="1" applyNumberFormat="1" applyFont="1" applyBorder="1" applyAlignment="1">
      <alignment horizontal="center" vertical="center"/>
    </xf>
    <xf numFmtId="0" fontId="4" fillId="6" borderId="2" xfId="0" applyFont="1" applyFill="1" applyBorder="1" applyAlignment="1">
      <alignment horizontal="center"/>
    </xf>
    <xf numFmtId="164" fontId="4" fillId="2" borderId="2" xfId="1" applyFont="1" applyFill="1" applyBorder="1" applyAlignment="1">
      <alignment horizontal="center"/>
    </xf>
    <xf numFmtId="165" fontId="25" fillId="0" borderId="0" xfId="0" applyNumberFormat="1" applyFont="1"/>
    <xf numFmtId="0" fontId="26" fillId="0" borderId="2" xfId="0" applyFont="1" applyBorder="1" applyAlignment="1">
      <alignment vertical="center" wrapText="1"/>
    </xf>
    <xf numFmtId="164" fontId="26" fillId="0" borderId="2" xfId="1" applyFont="1" applyBorder="1" applyAlignment="1">
      <alignment horizontal="right" vertical="center" wrapText="1"/>
    </xf>
    <xf numFmtId="164" fontId="4" fillId="0" borderId="2" xfId="1" applyFont="1" applyBorder="1" applyAlignment="1">
      <alignment horizontal="right" wrapText="1"/>
    </xf>
    <xf numFmtId="0" fontId="20" fillId="0" borderId="2" xfId="0" applyFont="1" applyBorder="1" applyAlignment="1">
      <alignment wrapText="1"/>
    </xf>
    <xf numFmtId="164" fontId="20" fillId="0" borderId="2" xfId="1" applyFont="1" applyBorder="1" applyAlignment="1">
      <alignment horizontal="right" wrapText="1"/>
    </xf>
    <xf numFmtId="0" fontId="24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wrapText="1"/>
    </xf>
    <xf numFmtId="4" fontId="24" fillId="2" borderId="0" xfId="0" applyNumberFormat="1" applyFont="1" applyFill="1" applyAlignment="1">
      <alignment horizontal="right" vertical="center" wrapText="1"/>
    </xf>
    <xf numFmtId="43" fontId="24" fillId="2" borderId="0" xfId="0" applyNumberFormat="1" applyFont="1" applyFill="1" applyAlignment="1">
      <alignment horizontal="right"/>
    </xf>
    <xf numFmtId="0" fontId="24" fillId="2" borderId="16" xfId="0" applyFont="1" applyFill="1" applyBorder="1" applyAlignment="1">
      <alignment horizontal="left" vertical="center" wrapText="1"/>
    </xf>
    <xf numFmtId="0" fontId="24" fillId="2" borderId="17" xfId="0" applyFont="1" applyFill="1" applyBorder="1" applyAlignment="1">
      <alignment horizontal="left" vertical="center" wrapText="1"/>
    </xf>
    <xf numFmtId="0" fontId="20" fillId="6" borderId="22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justify" vertical="top" wrapText="1"/>
    </xf>
    <xf numFmtId="14" fontId="20" fillId="0" borderId="22" xfId="0" applyNumberFormat="1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43" fontId="20" fillId="0" borderId="22" xfId="2" applyFont="1" applyFill="1" applyBorder="1" applyAlignment="1">
      <alignment horizontal="center" vertical="center" wrapText="1"/>
    </xf>
    <xf numFmtId="4" fontId="20" fillId="0" borderId="22" xfId="0" applyNumberFormat="1" applyFont="1" applyBorder="1" applyAlignment="1">
      <alignment horizontal="center" vertical="center" wrapText="1"/>
    </xf>
    <xf numFmtId="0" fontId="20" fillId="6" borderId="15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justify" vertical="top" wrapText="1"/>
    </xf>
    <xf numFmtId="4" fontId="20" fillId="0" borderId="15" xfId="0" applyNumberFormat="1" applyFont="1" applyBorder="1" applyAlignment="1">
      <alignment horizontal="center" vertical="center" wrapText="1"/>
    </xf>
    <xf numFmtId="14" fontId="20" fillId="0" borderId="15" xfId="0" applyNumberFormat="1" applyFont="1" applyBorder="1" applyAlignment="1">
      <alignment horizontal="center" vertical="center" wrapText="1"/>
    </xf>
    <xf numFmtId="164" fontId="25" fillId="0" borderId="0" xfId="1" applyFont="1" applyFill="1"/>
    <xf numFmtId="0" fontId="4" fillId="6" borderId="15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justify" vertical="top" wrapText="1"/>
    </xf>
    <xf numFmtId="43" fontId="20" fillId="2" borderId="15" xfId="2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4" fontId="20" fillId="2" borderId="15" xfId="0" applyNumberFormat="1" applyFont="1" applyFill="1" applyBorder="1" applyAlignment="1">
      <alignment horizontal="center" vertical="center" wrapText="1"/>
    </xf>
    <xf numFmtId="0" fontId="4" fillId="6" borderId="47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4" fontId="4" fillId="2" borderId="15" xfId="1" applyFont="1" applyFill="1" applyBorder="1" applyAlignment="1">
      <alignment horizontal="center" vertical="center" wrapText="1"/>
    </xf>
    <xf numFmtId="164" fontId="4" fillId="2" borderId="28" xfId="1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right" vertical="center" wrapText="1"/>
    </xf>
    <xf numFmtId="164" fontId="4" fillId="2" borderId="15" xfId="1" applyFont="1" applyFill="1" applyBorder="1" applyAlignment="1">
      <alignment horizontal="right" vertical="center" wrapText="1"/>
    </xf>
    <xf numFmtId="164" fontId="4" fillId="2" borderId="28" xfId="1" applyFont="1" applyFill="1" applyBorder="1" applyAlignment="1">
      <alignment horizontal="right"/>
    </xf>
    <xf numFmtId="0" fontId="20" fillId="2" borderId="14" xfId="0" applyFont="1" applyFill="1" applyBorder="1" applyAlignment="1">
      <alignment wrapText="1"/>
    </xf>
    <xf numFmtId="4" fontId="4" fillId="2" borderId="14" xfId="0" applyNumberFormat="1" applyFont="1" applyFill="1" applyBorder="1" applyAlignment="1">
      <alignment horizontal="right" vertical="center" wrapText="1"/>
    </xf>
    <xf numFmtId="164" fontId="4" fillId="2" borderId="14" xfId="1" applyFont="1" applyFill="1" applyBorder="1" applyAlignment="1">
      <alignment horizontal="right" vertical="center" wrapText="1"/>
    </xf>
    <xf numFmtId="164" fontId="4" fillId="0" borderId="14" xfId="1" applyFont="1" applyBorder="1" applyAlignment="1">
      <alignment horizontal="right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20" fillId="6" borderId="21" xfId="0" applyFont="1" applyFill="1" applyBorder="1" applyAlignment="1">
      <alignment horizontal="center" vertical="center"/>
    </xf>
    <xf numFmtId="3" fontId="20" fillId="0" borderId="15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 wrapText="1"/>
    </xf>
    <xf numFmtId="0" fontId="20" fillId="6" borderId="29" xfId="0" applyFont="1" applyFill="1" applyBorder="1" applyAlignment="1">
      <alignment horizontal="center" vertical="center"/>
    </xf>
    <xf numFmtId="16" fontId="20" fillId="0" borderId="15" xfId="0" applyNumberFormat="1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6" borderId="25" xfId="0" applyFont="1" applyFill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4" fontId="20" fillId="0" borderId="26" xfId="0" applyNumberFormat="1" applyFont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 wrapText="1"/>
    </xf>
    <xf numFmtId="164" fontId="25" fillId="0" borderId="0" xfId="1" applyFont="1"/>
    <xf numFmtId="0" fontId="23" fillId="2" borderId="14" xfId="0" applyFont="1" applyFill="1" applyBorder="1" applyAlignment="1">
      <alignment wrapText="1"/>
    </xf>
    <xf numFmtId="4" fontId="24" fillId="2" borderId="14" xfId="0" applyNumberFormat="1" applyFont="1" applyFill="1" applyBorder="1" applyAlignment="1">
      <alignment horizontal="right" vertical="center" wrapText="1"/>
    </xf>
    <xf numFmtId="164" fontId="24" fillId="2" borderId="14" xfId="1" applyFont="1" applyFill="1" applyBorder="1" applyAlignment="1">
      <alignment horizontal="right" vertical="center" wrapText="1"/>
    </xf>
    <xf numFmtId="164" fontId="4" fillId="0" borderId="14" xfId="1" applyFont="1" applyFill="1" applyBorder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164" fontId="24" fillId="2" borderId="0" xfId="1" applyFont="1" applyFill="1" applyBorder="1" applyAlignment="1">
      <alignment horizontal="right" vertical="center" wrapText="1"/>
    </xf>
    <xf numFmtId="164" fontId="4" fillId="2" borderId="0" xfId="1" applyFont="1" applyFill="1" applyBorder="1" applyAlignment="1">
      <alignment horizontal="right" vertical="center" wrapText="1"/>
    </xf>
    <xf numFmtId="164" fontId="4" fillId="0" borderId="0" xfId="1" applyFont="1" applyBorder="1" applyAlignment="1">
      <alignment horizontal="right" wrapText="1"/>
    </xf>
    <xf numFmtId="4" fontId="4" fillId="2" borderId="0" xfId="0" applyNumberFormat="1" applyFont="1" applyFill="1" applyAlignment="1">
      <alignment horizontal="right" vertical="center" wrapText="1"/>
    </xf>
    <xf numFmtId="0" fontId="20" fillId="2" borderId="0" xfId="0" applyFont="1" applyFill="1" applyAlignment="1">
      <alignment wrapText="1"/>
    </xf>
    <xf numFmtId="43" fontId="4" fillId="2" borderId="0" xfId="0" applyNumberFormat="1" applyFont="1" applyFill="1" applyAlignment="1">
      <alignment horizontal="right"/>
    </xf>
    <xf numFmtId="0" fontId="4" fillId="6" borderId="7" xfId="0" applyFont="1" applyFill="1" applyBorder="1" applyAlignment="1">
      <alignment horizontal="center"/>
    </xf>
    <xf numFmtId="0" fontId="20" fillId="2" borderId="22" xfId="0" applyFont="1" applyFill="1" applyBorder="1" applyAlignment="1">
      <alignment horizontal="center" vertical="center"/>
    </xf>
    <xf numFmtId="4" fontId="20" fillId="2" borderId="24" xfId="0" applyNumberFormat="1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/>
    </xf>
    <xf numFmtId="4" fontId="20" fillId="0" borderId="28" xfId="0" applyNumberFormat="1" applyFont="1" applyBorder="1" applyAlignment="1">
      <alignment horizontal="center" vertical="center"/>
    </xf>
    <xf numFmtId="4" fontId="20" fillId="2" borderId="28" xfId="0" applyNumberFormat="1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 wrapText="1"/>
    </xf>
    <xf numFmtId="14" fontId="20" fillId="2" borderId="26" xfId="0" applyNumberFormat="1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/>
    </xf>
    <xf numFmtId="4" fontId="20" fillId="2" borderId="26" xfId="0" applyNumberFormat="1" applyFont="1" applyFill="1" applyBorder="1" applyAlignment="1">
      <alignment horizontal="center" vertical="center"/>
    </xf>
    <xf numFmtId="4" fontId="20" fillId="2" borderId="38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/>
    </xf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wrapText="1"/>
    </xf>
    <xf numFmtId="0" fontId="23" fillId="0" borderId="2" xfId="0" applyFont="1" applyBorder="1" applyAlignment="1">
      <alignment wrapText="1"/>
    </xf>
    <xf numFmtId="0" fontId="23" fillId="0" borderId="2" xfId="0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0" fontId="27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29" fillId="0" borderId="0" xfId="0" applyFont="1" applyAlignment="1">
      <alignment wrapText="1"/>
    </xf>
    <xf numFmtId="0" fontId="27" fillId="0" borderId="0" xfId="0" applyFont="1"/>
    <xf numFmtId="0" fontId="4" fillId="6" borderId="18" xfId="0" applyFont="1" applyFill="1" applyBorder="1" applyAlignment="1">
      <alignment wrapText="1"/>
    </xf>
    <xf numFmtId="4" fontId="4" fillId="6" borderId="2" xfId="0" applyNumberFormat="1" applyFont="1" applyFill="1" applyBorder="1" applyAlignment="1">
      <alignment horizontal="left" wrapText="1"/>
    </xf>
    <xf numFmtId="0" fontId="4" fillId="6" borderId="21" xfId="0" applyFont="1" applyFill="1" applyBorder="1" applyAlignment="1">
      <alignment wrapText="1"/>
    </xf>
    <xf numFmtId="43" fontId="20" fillId="0" borderId="22" xfId="0" applyNumberFormat="1" applyFont="1" applyBorder="1" applyAlignment="1">
      <alignment horizontal="right" wrapText="1"/>
    </xf>
    <xf numFmtId="4" fontId="20" fillId="0" borderId="23" xfId="0" applyNumberFormat="1" applyFont="1" applyBorder="1" applyAlignment="1">
      <alignment horizontal="right" wrapText="1"/>
    </xf>
    <xf numFmtId="4" fontId="4" fillId="0" borderId="24" xfId="0" applyNumberFormat="1" applyFont="1" applyBorder="1" applyAlignment="1">
      <alignment horizontal="right" wrapText="1"/>
    </xf>
    <xf numFmtId="9" fontId="4" fillId="0" borderId="0" xfId="0" applyNumberFormat="1" applyFont="1" applyAlignment="1">
      <alignment horizontal="right" wrapText="1"/>
    </xf>
    <xf numFmtId="10" fontId="20" fillId="2" borderId="0" xfId="0" applyNumberFormat="1" applyFont="1" applyFill="1" applyAlignment="1">
      <alignment wrapText="1"/>
    </xf>
    <xf numFmtId="0" fontId="4" fillId="6" borderId="25" xfId="0" applyFont="1" applyFill="1" applyBorder="1" applyAlignment="1">
      <alignment horizontal="center" wrapText="1"/>
    </xf>
    <xf numFmtId="4" fontId="20" fillId="2" borderId="26" xfId="0" applyNumberFormat="1" applyFont="1" applyFill="1" applyBorder="1" applyAlignment="1">
      <alignment horizontal="right" vertical="center" wrapText="1"/>
    </xf>
    <xf numFmtId="4" fontId="20" fillId="2" borderId="27" xfId="0" applyNumberFormat="1" applyFont="1" applyFill="1" applyBorder="1" applyAlignment="1">
      <alignment horizontal="right" vertical="center" wrapText="1"/>
    </xf>
    <xf numFmtId="4" fontId="4" fillId="0" borderId="28" xfId="0" applyNumberFormat="1" applyFont="1" applyBorder="1" applyAlignment="1">
      <alignment horizontal="right" wrapText="1"/>
    </xf>
    <xf numFmtId="0" fontId="4" fillId="6" borderId="29" xfId="0" applyFont="1" applyFill="1" applyBorder="1" applyAlignment="1">
      <alignment wrapText="1"/>
    </xf>
    <xf numFmtId="4" fontId="20" fillId="2" borderId="15" xfId="0" applyNumberFormat="1" applyFont="1" applyFill="1" applyBorder="1" applyAlignment="1">
      <alignment horizontal="right" vertical="center" wrapText="1"/>
    </xf>
    <xf numFmtId="4" fontId="20" fillId="2" borderId="30" xfId="0" applyNumberFormat="1" applyFont="1" applyFill="1" applyBorder="1" applyAlignment="1">
      <alignment horizontal="right" vertical="center" wrapText="1"/>
    </xf>
    <xf numFmtId="4" fontId="4" fillId="4" borderId="28" xfId="0" applyNumberFormat="1" applyFont="1" applyFill="1" applyBorder="1" applyAlignment="1">
      <alignment horizontal="right" wrapText="1"/>
    </xf>
    <xf numFmtId="3" fontId="20" fillId="2" borderId="15" xfId="0" applyNumberFormat="1" applyFont="1" applyFill="1" applyBorder="1" applyAlignment="1">
      <alignment horizontal="right" vertical="center" wrapText="1"/>
    </xf>
    <xf numFmtId="3" fontId="20" fillId="2" borderId="30" xfId="0" applyNumberFormat="1" applyFont="1" applyFill="1" applyBorder="1" applyAlignment="1">
      <alignment horizontal="right" vertical="center" wrapText="1"/>
    </xf>
    <xf numFmtId="0" fontId="4" fillId="6" borderId="31" xfId="0" applyFont="1" applyFill="1" applyBorder="1" applyAlignment="1">
      <alignment wrapText="1"/>
    </xf>
    <xf numFmtId="4" fontId="4" fillId="6" borderId="32" xfId="0" applyNumberFormat="1" applyFont="1" applyFill="1" applyBorder="1" applyAlignment="1">
      <alignment horizontal="right" vertical="center" wrapText="1"/>
    </xf>
    <xf numFmtId="4" fontId="4" fillId="6" borderId="33" xfId="0" applyNumberFormat="1" applyFont="1" applyFill="1" applyBorder="1" applyAlignment="1">
      <alignment horizontal="right" vertical="center" wrapText="1"/>
    </xf>
    <xf numFmtId="4" fontId="4" fillId="6" borderId="34" xfId="0" applyNumberFormat="1" applyFont="1" applyFill="1" applyBorder="1" applyAlignment="1">
      <alignment horizontal="right" wrapText="1"/>
    </xf>
    <xf numFmtId="9" fontId="20" fillId="0" borderId="22" xfId="0" applyNumberFormat="1" applyFont="1" applyBorder="1" applyAlignment="1">
      <alignment horizontal="right" wrapText="1"/>
    </xf>
    <xf numFmtId="9" fontId="20" fillId="0" borderId="23" xfId="0" applyNumberFormat="1" applyFont="1" applyBorder="1" applyAlignment="1">
      <alignment horizontal="right" wrapText="1"/>
    </xf>
    <xf numFmtId="9" fontId="4" fillId="0" borderId="24" xfId="0" applyNumberFormat="1" applyFont="1" applyBorder="1" applyAlignment="1">
      <alignment horizontal="right" wrapText="1"/>
    </xf>
    <xf numFmtId="0" fontId="4" fillId="6" borderId="21" xfId="0" applyFont="1" applyFill="1" applyBorder="1"/>
    <xf numFmtId="0" fontId="20" fillId="0" borderId="22" xfId="0" applyFont="1" applyBorder="1" applyAlignment="1">
      <alignment horizontal="right" wrapText="1"/>
    </xf>
    <xf numFmtId="167" fontId="20" fillId="0" borderId="22" xfId="0" applyNumberFormat="1" applyFont="1" applyBorder="1" applyAlignment="1">
      <alignment horizontal="right" wrapText="1"/>
    </xf>
    <xf numFmtId="3" fontId="20" fillId="0" borderId="23" xfId="0" applyNumberFormat="1" applyFont="1" applyBorder="1" applyAlignment="1">
      <alignment horizontal="right" wrapText="1"/>
    </xf>
    <xf numFmtId="3" fontId="4" fillId="0" borderId="24" xfId="0" applyNumberFormat="1" applyFont="1" applyBorder="1" applyAlignment="1">
      <alignment horizontal="right" wrapText="1"/>
    </xf>
    <xf numFmtId="0" fontId="4" fillId="6" borderId="25" xfId="0" applyFont="1" applyFill="1" applyBorder="1" applyAlignment="1">
      <alignment horizontal="left"/>
    </xf>
    <xf numFmtId="0" fontId="20" fillId="2" borderId="26" xfId="0" applyFont="1" applyFill="1" applyBorder="1" applyAlignment="1">
      <alignment horizontal="right" vertical="center" wrapText="1"/>
    </xf>
    <xf numFmtId="167" fontId="20" fillId="2" borderId="26" xfId="0" applyNumberFormat="1" applyFont="1" applyFill="1" applyBorder="1" applyAlignment="1">
      <alignment horizontal="right" vertical="center" wrapText="1"/>
    </xf>
    <xf numFmtId="3" fontId="20" fillId="2" borderId="27" xfId="0" applyNumberFormat="1" applyFont="1" applyFill="1" applyBorder="1" applyAlignment="1">
      <alignment horizontal="right" vertical="center" wrapText="1"/>
    </xf>
    <xf numFmtId="10" fontId="20" fillId="0" borderId="0" xfId="0" applyNumberFormat="1" applyFont="1"/>
    <xf numFmtId="0" fontId="20" fillId="0" borderId="0" xfId="0" applyFont="1"/>
    <xf numFmtId="9" fontId="4" fillId="6" borderId="32" xfId="0" applyNumberFormat="1" applyFont="1" applyFill="1" applyBorder="1" applyAlignment="1">
      <alignment horizontal="right" vertical="center" wrapText="1"/>
    </xf>
    <xf numFmtId="9" fontId="4" fillId="6" borderId="33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64" fontId="20" fillId="2" borderId="26" xfId="1" applyFont="1" applyFill="1" applyBorder="1" applyAlignment="1">
      <alignment horizontal="right" vertical="center" wrapText="1"/>
    </xf>
    <xf numFmtId="0" fontId="25" fillId="0" borderId="0" xfId="0" applyFont="1" applyAlignment="1">
      <alignment horizontal="center" vertical="center"/>
    </xf>
    <xf numFmtId="164" fontId="20" fillId="2" borderId="15" xfId="1" applyFont="1" applyFill="1" applyBorder="1" applyAlignment="1">
      <alignment horizontal="right" vertical="center" wrapText="1"/>
    </xf>
    <xf numFmtId="4" fontId="25" fillId="0" borderId="0" xfId="0" applyNumberFormat="1" applyFont="1" applyAlignment="1">
      <alignment horizontal="center" vertical="center"/>
    </xf>
    <xf numFmtId="3" fontId="4" fillId="6" borderId="32" xfId="0" applyNumberFormat="1" applyFont="1" applyFill="1" applyBorder="1" applyAlignment="1">
      <alignment horizontal="right" vertical="center" wrapText="1"/>
    </xf>
    <xf numFmtId="10" fontId="20" fillId="0" borderId="22" xfId="0" applyNumberFormat="1" applyFont="1" applyBorder="1" applyAlignment="1">
      <alignment horizontal="right" wrapText="1"/>
    </xf>
    <xf numFmtId="9" fontId="4" fillId="0" borderId="24" xfId="0" applyNumberFormat="1" applyFont="1" applyBorder="1" applyAlignment="1">
      <alignment wrapText="1"/>
    </xf>
    <xf numFmtId="10" fontId="20" fillId="2" borderId="26" xfId="0" applyNumberFormat="1" applyFont="1" applyFill="1" applyBorder="1" applyAlignment="1">
      <alignment horizontal="right" vertical="center" wrapText="1"/>
    </xf>
    <xf numFmtId="9" fontId="20" fillId="2" borderId="26" xfId="0" applyNumberFormat="1" applyFont="1" applyFill="1" applyBorder="1" applyAlignment="1">
      <alignment horizontal="right" vertical="center" wrapText="1"/>
    </xf>
    <xf numFmtId="9" fontId="20" fillId="2" borderId="27" xfId="0" applyNumberFormat="1" applyFont="1" applyFill="1" applyBorder="1" applyAlignment="1">
      <alignment horizontal="right" vertical="center" wrapText="1"/>
    </xf>
    <xf numFmtId="9" fontId="4" fillId="0" borderId="28" xfId="0" applyNumberFormat="1" applyFont="1" applyBorder="1" applyAlignment="1">
      <alignment wrapText="1"/>
    </xf>
    <xf numFmtId="9" fontId="4" fillId="7" borderId="28" xfId="0" applyNumberFormat="1" applyFont="1" applyFill="1" applyBorder="1" applyAlignment="1">
      <alignment wrapText="1"/>
    </xf>
    <xf numFmtId="10" fontId="4" fillId="0" borderId="28" xfId="0" applyNumberFormat="1" applyFont="1" applyBorder="1" applyAlignment="1">
      <alignment wrapText="1"/>
    </xf>
    <xf numFmtId="10" fontId="20" fillId="2" borderId="15" xfId="0" applyNumberFormat="1" applyFont="1" applyFill="1" applyBorder="1" applyAlignment="1">
      <alignment horizontal="right" vertical="center" wrapText="1"/>
    </xf>
    <xf numFmtId="43" fontId="20" fillId="2" borderId="15" xfId="0" applyNumberFormat="1" applyFont="1" applyFill="1" applyBorder="1" applyAlignment="1">
      <alignment horizontal="right" vertical="center" wrapText="1"/>
    </xf>
    <xf numFmtId="9" fontId="20" fillId="2" borderId="30" xfId="0" applyNumberFormat="1" applyFont="1" applyFill="1" applyBorder="1" applyAlignment="1">
      <alignment horizontal="right" vertical="center" wrapText="1"/>
    </xf>
    <xf numFmtId="10" fontId="4" fillId="2" borderId="28" xfId="0" applyNumberFormat="1" applyFont="1" applyFill="1" applyBorder="1" applyAlignment="1">
      <alignment wrapText="1"/>
    </xf>
    <xf numFmtId="10" fontId="4" fillId="6" borderId="32" xfId="0" applyNumberFormat="1" applyFont="1" applyFill="1" applyBorder="1" applyAlignment="1">
      <alignment horizontal="right" vertical="center" wrapText="1"/>
    </xf>
    <xf numFmtId="10" fontId="4" fillId="6" borderId="33" xfId="0" applyNumberFormat="1" applyFont="1" applyFill="1" applyBorder="1" applyAlignment="1">
      <alignment horizontal="right" vertical="center" wrapText="1"/>
    </xf>
    <xf numFmtId="10" fontId="4" fillId="6" borderId="34" xfId="0" applyNumberFormat="1" applyFont="1" applyFill="1" applyBorder="1" applyAlignment="1">
      <alignment wrapText="1"/>
    </xf>
    <xf numFmtId="0" fontId="20" fillId="0" borderId="22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justify" vertical="top"/>
    </xf>
    <xf numFmtId="0" fontId="23" fillId="0" borderId="15" xfId="0" applyFont="1" applyBorder="1" applyAlignment="1">
      <alignment horizontal="left" vertical="top" wrapText="1"/>
    </xf>
    <xf numFmtId="0" fontId="4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left" wrapText="1"/>
    </xf>
    <xf numFmtId="10" fontId="20" fillId="7" borderId="22" xfId="0" applyNumberFormat="1" applyFont="1" applyFill="1" applyBorder="1" applyAlignment="1">
      <alignment horizontal="right" wrapText="1"/>
    </xf>
    <xf numFmtId="0" fontId="7" fillId="0" borderId="42" xfId="0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 wrapText="1"/>
    </xf>
    <xf numFmtId="0" fontId="20" fillId="0" borderId="47" xfId="0" applyFont="1" applyBorder="1" applyAlignment="1">
      <alignment horizontal="left" vertical="top" wrapText="1"/>
    </xf>
    <xf numFmtId="14" fontId="30" fillId="0" borderId="15" xfId="0" applyNumberFormat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left" vertical="top" wrapText="1"/>
    </xf>
    <xf numFmtId="0" fontId="25" fillId="0" borderId="0" xfId="0" applyFont="1" applyAlignment="1">
      <alignment vertical="center" wrapText="1"/>
    </xf>
    <xf numFmtId="4" fontId="10" fillId="0" borderId="15" xfId="0" quotePrefix="1" applyNumberFormat="1" applyFont="1" applyBorder="1" applyAlignment="1">
      <alignment horizontal="center" vertical="center"/>
    </xf>
    <xf numFmtId="14" fontId="7" fillId="0" borderId="30" xfId="0" applyNumberFormat="1" applyFont="1" applyBorder="1" applyAlignment="1">
      <alignment horizontal="center" vertical="center" wrapText="1"/>
    </xf>
    <xf numFmtId="4" fontId="10" fillId="0" borderId="22" xfId="0" applyNumberFormat="1" applyFont="1" applyBorder="1" applyAlignment="1">
      <alignment horizontal="center" vertical="center"/>
    </xf>
    <xf numFmtId="0" fontId="25" fillId="0" borderId="0" xfId="0" applyFont="1" applyAlignment="1">
      <alignment wrapText="1"/>
    </xf>
    <xf numFmtId="3" fontId="8" fillId="0" borderId="15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4" fontId="9" fillId="0" borderId="15" xfId="0" applyNumberFormat="1" applyFont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32" fillId="0" borderId="0" xfId="0" applyFont="1"/>
    <xf numFmtId="164" fontId="4" fillId="0" borderId="0" xfId="1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 vertical="center" wrapText="1"/>
    </xf>
    <xf numFmtId="164" fontId="27" fillId="0" borderId="0" xfId="1" applyFont="1" applyBorder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top" wrapText="1"/>
    </xf>
    <xf numFmtId="0" fontId="20" fillId="2" borderId="15" xfId="0" applyFont="1" applyFill="1" applyBorder="1" applyAlignment="1">
      <alignment horizontal="center" vertical="top" wrapText="1"/>
    </xf>
    <xf numFmtId="165" fontId="20" fillId="0" borderId="0" xfId="0" applyNumberFormat="1" applyFont="1"/>
    <xf numFmtId="0" fontId="33" fillId="0" borderId="0" xfId="0" applyFont="1"/>
    <xf numFmtId="14" fontId="25" fillId="0" borderId="15" xfId="0" applyNumberFormat="1" applyFont="1" applyBorder="1" applyAlignment="1">
      <alignment horizontal="center" vertical="center"/>
    </xf>
    <xf numFmtId="14" fontId="25" fillId="0" borderId="15" xfId="0" applyNumberFormat="1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/>
    </xf>
    <xf numFmtId="164" fontId="23" fillId="0" borderId="0" xfId="1" applyFont="1"/>
    <xf numFmtId="164" fontId="4" fillId="0" borderId="2" xfId="1" applyFont="1" applyFill="1" applyBorder="1" applyAlignment="1">
      <alignment horizontal="center"/>
    </xf>
    <xf numFmtId="164" fontId="4" fillId="0" borderId="2" xfId="1" applyFont="1" applyFill="1" applyBorder="1" applyAlignment="1">
      <alignment horizontal="right" wrapText="1"/>
    </xf>
    <xf numFmtId="0" fontId="24" fillId="0" borderId="0" xfId="0" applyFont="1" applyAlignment="1">
      <alignment horizontal="center" vertical="center" wrapText="1"/>
    </xf>
    <xf numFmtId="4" fontId="24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vertical="top"/>
    </xf>
    <xf numFmtId="0" fontId="4" fillId="6" borderId="5" xfId="0" applyFont="1" applyFill="1" applyBorder="1" applyAlignment="1">
      <alignment vertical="top" wrapText="1"/>
    </xf>
    <xf numFmtId="0" fontId="4" fillId="6" borderId="9" xfId="0" applyFont="1" applyFill="1" applyBorder="1" applyAlignment="1">
      <alignment vertical="top"/>
    </xf>
    <xf numFmtId="0" fontId="4" fillId="6" borderId="9" xfId="0" applyFont="1" applyFill="1" applyBorder="1" applyAlignment="1">
      <alignment vertical="top" wrapText="1"/>
    </xf>
    <xf numFmtId="0" fontId="4" fillId="6" borderId="2" xfId="0" applyFont="1" applyFill="1" applyBorder="1" applyAlignment="1">
      <alignment horizontal="left" vertical="center" wrapText="1"/>
    </xf>
    <xf numFmtId="0" fontId="23" fillId="6" borderId="22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horizontal="justify" vertical="top" wrapText="1"/>
    </xf>
    <xf numFmtId="0" fontId="23" fillId="2" borderId="35" xfId="0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4" fontId="23" fillId="2" borderId="15" xfId="0" applyNumberFormat="1" applyFont="1" applyFill="1" applyBorder="1" applyAlignment="1">
      <alignment horizontal="center" vertical="center"/>
    </xf>
    <xf numFmtId="0" fontId="24" fillId="0" borderId="15" xfId="0" applyFont="1" applyBorder="1" applyAlignment="1">
      <alignment vertical="top"/>
    </xf>
    <xf numFmtId="0" fontId="24" fillId="0" borderId="15" xfId="0" applyFont="1" applyBorder="1" applyAlignment="1">
      <alignment vertical="top" wrapText="1"/>
    </xf>
    <xf numFmtId="4" fontId="23" fillId="0" borderId="35" xfId="0" applyNumberFormat="1" applyFont="1" applyBorder="1" applyAlignment="1">
      <alignment horizontal="center" vertical="center"/>
    </xf>
    <xf numFmtId="4" fontId="23" fillId="2" borderId="36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/>
    <xf numFmtId="0" fontId="34" fillId="0" borderId="0" xfId="0" applyFont="1"/>
    <xf numFmtId="0" fontId="23" fillId="0" borderId="15" xfId="0" applyFont="1" applyBorder="1" applyAlignment="1">
      <alignment horizontal="center" vertical="center" wrapText="1"/>
    </xf>
    <xf numFmtId="14" fontId="23" fillId="2" borderId="15" xfId="0" applyNumberFormat="1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4" fontId="23" fillId="0" borderId="15" xfId="0" applyNumberFormat="1" applyFont="1" applyBorder="1" applyAlignment="1">
      <alignment horizontal="center" vertical="center"/>
    </xf>
    <xf numFmtId="0" fontId="20" fillId="6" borderId="2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4" fillId="0" borderId="15" xfId="1" applyFont="1" applyFill="1" applyBorder="1" applyAlignment="1">
      <alignment horizontal="center" vertical="center" wrapText="1"/>
    </xf>
    <xf numFmtId="164" fontId="4" fillId="0" borderId="15" xfId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center" vertical="top" wrapText="1"/>
    </xf>
    <xf numFmtId="164" fontId="25" fillId="0" borderId="0" xfId="1" applyFont="1" applyAlignment="1">
      <alignment horizontal="left" vertical="top"/>
    </xf>
    <xf numFmtId="165" fontId="25" fillId="0" borderId="0" xfId="0" applyNumberFormat="1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20" fillId="6" borderId="15" xfId="0" applyFont="1" applyFill="1" applyBorder="1" applyAlignment="1">
      <alignment horizontal="left" vertical="top"/>
    </xf>
    <xf numFmtId="0" fontId="20" fillId="0" borderId="15" xfId="0" applyFont="1" applyBorder="1" applyAlignment="1">
      <alignment horizontal="left" vertical="center" wrapText="1"/>
    </xf>
    <xf numFmtId="0" fontId="20" fillId="2" borderId="15" xfId="0" applyFont="1" applyFill="1" applyBorder="1" applyAlignment="1">
      <alignment horizontal="left" vertical="center" wrapText="1"/>
    </xf>
    <xf numFmtId="164" fontId="23" fillId="0" borderId="0" xfId="1" applyFont="1" applyAlignment="1">
      <alignment vertical="top"/>
    </xf>
    <xf numFmtId="0" fontId="20" fillId="2" borderId="22" xfId="0" applyFont="1" applyFill="1" applyBorder="1" applyAlignment="1">
      <alignment horizontal="left" vertical="center" wrapText="1"/>
    </xf>
    <xf numFmtId="16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/>
    </xf>
    <xf numFmtId="4" fontId="20" fillId="2" borderId="22" xfId="0" applyNumberFormat="1" applyFont="1" applyFill="1" applyBorder="1" applyAlignment="1">
      <alignment horizontal="left" vertical="center"/>
    </xf>
    <xf numFmtId="3" fontId="20" fillId="0" borderId="22" xfId="0" applyNumberFormat="1" applyFont="1" applyBorder="1" applyAlignment="1">
      <alignment horizontal="left" vertical="center" wrapText="1"/>
    </xf>
    <xf numFmtId="4" fontId="20" fillId="3" borderId="22" xfId="0" applyNumberFormat="1" applyFont="1" applyFill="1" applyBorder="1" applyAlignment="1">
      <alignment horizontal="left" vertical="center"/>
    </xf>
    <xf numFmtId="166" fontId="4" fillId="0" borderId="22" xfId="1" applyNumberFormat="1" applyFont="1" applyFill="1" applyBorder="1" applyAlignment="1">
      <alignment horizontal="center" vertical="center"/>
    </xf>
    <xf numFmtId="164" fontId="4" fillId="2" borderId="22" xfId="1" applyFont="1" applyFill="1" applyBorder="1" applyAlignment="1">
      <alignment horizontal="center" vertical="center"/>
    </xf>
    <xf numFmtId="164" fontId="4" fillId="0" borderId="22" xfId="1" applyFont="1" applyFill="1" applyBorder="1" applyAlignment="1">
      <alignment horizontal="center" vertical="center"/>
    </xf>
    <xf numFmtId="164" fontId="4" fillId="2" borderId="24" xfId="1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164" fontId="24" fillId="2" borderId="15" xfId="1" applyFont="1" applyFill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0" fontId="4" fillId="6" borderId="15" xfId="0" applyFont="1" applyFill="1" applyBorder="1" applyAlignment="1">
      <alignment horizontal="center"/>
    </xf>
    <xf numFmtId="0" fontId="25" fillId="0" borderId="15" xfId="0" applyFont="1" applyBorder="1" applyAlignment="1">
      <alignment wrapText="1"/>
    </xf>
    <xf numFmtId="0" fontId="24" fillId="6" borderId="15" xfId="0" applyFont="1" applyFill="1" applyBorder="1" applyAlignment="1">
      <alignment horizontal="center"/>
    </xf>
    <xf numFmtId="0" fontId="23" fillId="0" borderId="15" xfId="0" applyFont="1" applyBorder="1" applyAlignment="1">
      <alignment horizontal="justify" vertical="center"/>
    </xf>
    <xf numFmtId="4" fontId="23" fillId="2" borderId="28" xfId="0" applyNumberFormat="1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/>
    </xf>
    <xf numFmtId="0" fontId="23" fillId="2" borderId="22" xfId="0" applyFont="1" applyFill="1" applyBorder="1" applyAlignment="1">
      <alignment horizontal="center" vertical="center" wrapText="1"/>
    </xf>
    <xf numFmtId="14" fontId="23" fillId="2" borderId="2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0" fontId="24" fillId="6" borderId="13" xfId="0" applyFont="1" applyFill="1" applyBorder="1" applyAlignment="1">
      <alignment horizontal="center"/>
    </xf>
    <xf numFmtId="0" fontId="23" fillId="2" borderId="15" xfId="0" applyFont="1" applyFill="1" applyBorder="1" applyAlignment="1">
      <alignment horizontal="left" vertical="center" wrapText="1"/>
    </xf>
    <xf numFmtId="4" fontId="23" fillId="2" borderId="38" xfId="0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/>
    </xf>
    <xf numFmtId="164" fontId="27" fillId="0" borderId="0" xfId="1" applyFont="1" applyBorder="1" applyAlignment="1">
      <alignment horizontal="center"/>
    </xf>
    <xf numFmtId="0" fontId="20" fillId="6" borderId="7" xfId="0" applyFont="1" applyFill="1" applyBorder="1" applyAlignment="1">
      <alignment wrapText="1"/>
    </xf>
    <xf numFmtId="164" fontId="4" fillId="6" borderId="18" xfId="1" applyFont="1" applyFill="1" applyBorder="1" applyAlignment="1">
      <alignment wrapText="1"/>
    </xf>
    <xf numFmtId="164" fontId="4" fillId="6" borderId="21" xfId="1" applyFont="1" applyFill="1" applyBorder="1" applyAlignment="1">
      <alignment wrapText="1"/>
    </xf>
    <xf numFmtId="2" fontId="23" fillId="0" borderId="0" xfId="0" applyNumberFormat="1" applyFont="1" applyAlignment="1">
      <alignment wrapText="1"/>
    </xf>
    <xf numFmtId="164" fontId="4" fillId="6" borderId="25" xfId="1" applyFont="1" applyFill="1" applyBorder="1" applyAlignment="1">
      <alignment horizontal="center" wrapText="1"/>
    </xf>
    <xf numFmtId="0" fontId="4" fillId="6" borderId="25" xfId="0" applyFont="1" applyFill="1" applyBorder="1" applyAlignment="1">
      <alignment wrapText="1"/>
    </xf>
    <xf numFmtId="4" fontId="4" fillId="0" borderId="38" xfId="0" applyNumberFormat="1" applyFont="1" applyBorder="1" applyAlignment="1">
      <alignment horizontal="right" wrapText="1"/>
    </xf>
    <xf numFmtId="164" fontId="4" fillId="6" borderId="25" xfId="1" applyFont="1" applyFill="1" applyBorder="1" applyAlignment="1">
      <alignment wrapText="1"/>
    </xf>
    <xf numFmtId="4" fontId="4" fillId="6" borderId="19" xfId="0" applyNumberFormat="1" applyFont="1" applyFill="1" applyBorder="1" applyAlignment="1">
      <alignment horizontal="right" vertical="center" wrapText="1"/>
    </xf>
    <xf numFmtId="4" fontId="4" fillId="6" borderId="20" xfId="0" applyNumberFormat="1" applyFont="1" applyFill="1" applyBorder="1" applyAlignment="1">
      <alignment horizontal="right" vertical="center" wrapText="1"/>
    </xf>
    <xf numFmtId="4" fontId="4" fillId="0" borderId="40" xfId="0" applyNumberFormat="1" applyFont="1" applyBorder="1" applyAlignment="1">
      <alignment horizontal="right" wrapText="1"/>
    </xf>
    <xf numFmtId="4" fontId="4" fillId="6" borderId="40" xfId="0" applyNumberFormat="1" applyFont="1" applyFill="1" applyBorder="1" applyAlignment="1">
      <alignment horizontal="right" vertical="center" wrapText="1"/>
    </xf>
    <xf numFmtId="4" fontId="4" fillId="6" borderId="41" xfId="0" applyNumberFormat="1" applyFont="1" applyFill="1" applyBorder="1" applyAlignment="1">
      <alignment horizontal="right" wrapText="1"/>
    </xf>
    <xf numFmtId="0" fontId="4" fillId="2" borderId="0" xfId="0" applyFont="1" applyFill="1" applyAlignment="1">
      <alignment wrapText="1"/>
    </xf>
    <xf numFmtId="9" fontId="4" fillId="0" borderId="22" xfId="0" applyNumberFormat="1" applyFont="1" applyBorder="1" applyAlignment="1">
      <alignment horizontal="right" wrapText="1"/>
    </xf>
    <xf numFmtId="164" fontId="4" fillId="6" borderId="21" xfId="1" applyFont="1" applyFill="1" applyBorder="1" applyAlignment="1"/>
    <xf numFmtId="0" fontId="4" fillId="6" borderId="25" xfId="0" applyFont="1" applyFill="1" applyBorder="1" applyAlignment="1">
      <alignment horizontal="left" wrapText="1"/>
    </xf>
    <xf numFmtId="164" fontId="4" fillId="6" borderId="25" xfId="1" applyFont="1" applyFill="1" applyBorder="1" applyAlignment="1">
      <alignment horizontal="left"/>
    </xf>
    <xf numFmtId="164" fontId="4" fillId="6" borderId="29" xfId="1" applyFont="1" applyFill="1" applyBorder="1" applyAlignment="1">
      <alignment wrapText="1"/>
    </xf>
    <xf numFmtId="9" fontId="4" fillId="6" borderId="34" xfId="0" applyNumberFormat="1" applyFont="1" applyFill="1" applyBorder="1" applyAlignment="1">
      <alignment horizontal="right" wrapText="1"/>
    </xf>
    <xf numFmtId="164" fontId="4" fillId="6" borderId="31" xfId="1" applyFont="1" applyFill="1" applyBorder="1" applyAlignment="1">
      <alignment wrapText="1"/>
    </xf>
    <xf numFmtId="0" fontId="27" fillId="0" borderId="0" xfId="0" applyFont="1" applyAlignment="1">
      <alignment horizontal="left"/>
    </xf>
    <xf numFmtId="9" fontId="20" fillId="2" borderId="15" xfId="0" applyNumberFormat="1" applyFont="1" applyFill="1" applyBorder="1" applyAlignment="1">
      <alignment horizontal="right" vertical="center" wrapText="1"/>
    </xf>
    <xf numFmtId="0" fontId="4" fillId="6" borderId="29" xfId="0" applyFont="1" applyFill="1" applyBorder="1"/>
    <xf numFmtId="0" fontId="20" fillId="0" borderId="15" xfId="0" applyFont="1" applyBorder="1" applyAlignment="1">
      <alignment horizontal="right" wrapText="1"/>
    </xf>
    <xf numFmtId="0" fontId="4" fillId="6" borderId="29" xfId="0" applyFont="1" applyFill="1" applyBorder="1" applyAlignment="1">
      <alignment horizontal="left"/>
    </xf>
    <xf numFmtId="164" fontId="32" fillId="0" borderId="0" xfId="1" applyFont="1"/>
    <xf numFmtId="0" fontId="26" fillId="0" borderId="2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right" wrapText="1"/>
    </xf>
    <xf numFmtId="0" fontId="20" fillId="0" borderId="0" xfId="0" applyFont="1" applyAlignment="1">
      <alignment horizontal="right" wrapText="1"/>
    </xf>
    <xf numFmtId="0" fontId="25" fillId="0" borderId="15" xfId="0" applyFont="1" applyBorder="1" applyAlignment="1">
      <alignment horizontal="justify" vertical="center" wrapText="1"/>
    </xf>
    <xf numFmtId="164" fontId="20" fillId="0" borderId="0" xfId="1" applyFont="1"/>
    <xf numFmtId="4" fontId="20" fillId="0" borderId="0" xfId="0" applyNumberFormat="1" applyFont="1"/>
    <xf numFmtId="4" fontId="20" fillId="0" borderId="24" xfId="0" applyNumberFormat="1" applyFont="1" applyBorder="1" applyAlignment="1">
      <alignment horizontal="center" vertical="center" wrapText="1"/>
    </xf>
    <xf numFmtId="14" fontId="20" fillId="0" borderId="15" xfId="0" applyNumberFormat="1" applyFont="1" applyBorder="1" applyAlignment="1">
      <alignment horizontal="left" vertical="center" wrapText="1"/>
    </xf>
    <xf numFmtId="16" fontId="20" fillId="0" borderId="15" xfId="0" applyNumberFormat="1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/>
    </xf>
    <xf numFmtId="4" fontId="20" fillId="0" borderId="15" xfId="0" applyNumberFormat="1" applyFont="1" applyBorder="1" applyAlignment="1">
      <alignment horizontal="left" vertical="center"/>
    </xf>
    <xf numFmtId="3" fontId="20" fillId="0" borderId="15" xfId="0" applyNumberFormat="1" applyFont="1" applyBorder="1" applyAlignment="1">
      <alignment horizontal="left" vertical="center" wrapText="1"/>
    </xf>
    <xf numFmtId="164" fontId="25" fillId="0" borderId="0" xfId="0" applyNumberFormat="1" applyFont="1"/>
    <xf numFmtId="14" fontId="25" fillId="0" borderId="26" xfId="0" applyNumberFormat="1" applyFont="1" applyBorder="1" applyAlignment="1">
      <alignment horizontal="center" vertical="center"/>
    </xf>
    <xf numFmtId="14" fontId="25" fillId="0" borderId="22" xfId="0" applyNumberFormat="1" applyFont="1" applyBorder="1" applyAlignment="1">
      <alignment horizontal="center" vertical="center"/>
    </xf>
    <xf numFmtId="0" fontId="20" fillId="6" borderId="61" xfId="0" applyFont="1" applyFill="1" applyBorder="1" applyAlignment="1">
      <alignment horizontal="center" vertical="center"/>
    </xf>
    <xf numFmtId="0" fontId="20" fillId="6" borderId="30" xfId="0" applyFont="1" applyFill="1" applyBorder="1" applyAlignment="1">
      <alignment horizontal="center" vertical="center"/>
    </xf>
    <xf numFmtId="164" fontId="20" fillId="0" borderId="0" xfId="1" applyFont="1" applyFill="1"/>
    <xf numFmtId="4" fontId="7" fillId="0" borderId="47" xfId="0" applyNumberFormat="1" applyFont="1" applyBorder="1" applyAlignment="1">
      <alignment horizontal="center" vertical="center"/>
    </xf>
    <xf numFmtId="4" fontId="7" fillId="0" borderId="52" xfId="0" applyNumberFormat="1" applyFont="1" applyBorder="1" applyAlignment="1">
      <alignment horizontal="center" vertical="center"/>
    </xf>
    <xf numFmtId="4" fontId="20" fillId="0" borderId="30" xfId="0" quotePrefix="1" applyNumberFormat="1" applyFont="1" applyBorder="1" applyAlignment="1">
      <alignment horizontal="center" vertical="center"/>
    </xf>
    <xf numFmtId="4" fontId="20" fillId="0" borderId="47" xfId="0" applyNumberFormat="1" applyFont="1" applyBorder="1" applyAlignment="1">
      <alignment horizontal="center" vertical="center"/>
    </xf>
    <xf numFmtId="9" fontId="20" fillId="0" borderId="22" xfId="4" applyFont="1" applyBorder="1" applyAlignment="1">
      <alignment horizontal="right" wrapText="1"/>
    </xf>
    <xf numFmtId="9" fontId="20" fillId="0" borderId="15" xfId="4" applyFont="1" applyBorder="1" applyAlignment="1">
      <alignment horizontal="right" wrapText="1"/>
    </xf>
    <xf numFmtId="4" fontId="20" fillId="0" borderId="15" xfId="0" applyNumberFormat="1" applyFont="1" applyBorder="1" applyAlignment="1">
      <alignment horizontal="left" vertical="center" wrapText="1"/>
    </xf>
    <xf numFmtId="164" fontId="4" fillId="2" borderId="2" xfId="1" applyFont="1" applyFill="1" applyBorder="1" applyAlignment="1">
      <alignment horizontal="right"/>
    </xf>
    <xf numFmtId="164" fontId="4" fillId="0" borderId="16" xfId="1" applyFont="1" applyFill="1" applyBorder="1" applyAlignment="1">
      <alignment horizontal="right" vertical="center" wrapText="1"/>
    </xf>
    <xf numFmtId="164" fontId="4" fillId="2" borderId="2" xfId="1" applyFont="1" applyFill="1" applyBorder="1" applyAlignment="1">
      <alignment horizontal="right" vertical="center" wrapText="1"/>
    </xf>
    <xf numFmtId="4" fontId="24" fillId="2" borderId="2" xfId="0" applyNumberFormat="1" applyFont="1" applyFill="1" applyBorder="1" applyAlignment="1">
      <alignment horizontal="right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164" fontId="24" fillId="2" borderId="16" xfId="1" applyFont="1" applyFill="1" applyBorder="1" applyAlignment="1">
      <alignment horizontal="right" vertical="center" wrapText="1"/>
    </xf>
    <xf numFmtId="164" fontId="24" fillId="2" borderId="2" xfId="1" applyFont="1" applyFill="1" applyBorder="1" applyAlignment="1">
      <alignment horizontal="right" vertical="center" wrapText="1"/>
    </xf>
    <xf numFmtId="9" fontId="20" fillId="0" borderId="23" xfId="4" applyFont="1" applyBorder="1" applyAlignment="1">
      <alignment horizontal="right" wrapText="1"/>
    </xf>
    <xf numFmtId="0" fontId="20" fillId="0" borderId="26" xfId="0" applyFont="1" applyBorder="1" applyAlignment="1">
      <alignment horizontal="left" vertical="top" wrapText="1"/>
    </xf>
    <xf numFmtId="164" fontId="20" fillId="2" borderId="15" xfId="1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/>
    </xf>
    <xf numFmtId="14" fontId="20" fillId="2" borderId="14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4" fontId="20" fillId="2" borderId="14" xfId="0" applyNumberFormat="1" applyFont="1" applyFill="1" applyBorder="1" applyAlignment="1">
      <alignment horizontal="center" vertical="center"/>
    </xf>
    <xf numFmtId="4" fontId="20" fillId="2" borderId="1" xfId="0" applyNumberFormat="1" applyFont="1" applyFill="1" applyBorder="1" applyAlignment="1">
      <alignment horizontal="center" vertical="center"/>
    </xf>
    <xf numFmtId="4" fontId="20" fillId="2" borderId="7" xfId="0" applyNumberFormat="1" applyFont="1" applyFill="1" applyBorder="1" applyAlignment="1">
      <alignment horizontal="center" vertical="center"/>
    </xf>
    <xf numFmtId="4" fontId="20" fillId="2" borderId="8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right" wrapText="1"/>
    </xf>
    <xf numFmtId="0" fontId="20" fillId="2" borderId="15" xfId="0" applyFont="1" applyFill="1" applyBorder="1" applyAlignment="1">
      <alignment horizontal="left" vertical="top" wrapText="1"/>
    </xf>
    <xf numFmtId="0" fontId="25" fillId="0" borderId="15" xfId="0" applyFont="1" applyBorder="1" applyAlignment="1">
      <alignment vertical="top" wrapText="1"/>
    </xf>
    <xf numFmtId="4" fontId="20" fillId="3" borderId="15" xfId="0" applyNumberFormat="1" applyFont="1" applyFill="1" applyBorder="1" applyAlignment="1">
      <alignment horizontal="center" vertical="center"/>
    </xf>
    <xf numFmtId="0" fontId="20" fillId="7" borderId="15" xfId="0" applyFont="1" applyFill="1" applyBorder="1" applyAlignment="1">
      <alignment horizontal="left" vertical="top" wrapText="1"/>
    </xf>
    <xf numFmtId="3" fontId="20" fillId="2" borderId="15" xfId="0" applyNumberFormat="1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 wrapText="1"/>
    </xf>
    <xf numFmtId="166" fontId="4" fillId="2" borderId="22" xfId="1" applyNumberFormat="1" applyFont="1" applyFill="1" applyBorder="1" applyAlignment="1">
      <alignment horizontal="center" vertical="center"/>
    </xf>
    <xf numFmtId="4" fontId="24" fillId="2" borderId="15" xfId="0" applyNumberFormat="1" applyFont="1" applyFill="1" applyBorder="1" applyAlignment="1">
      <alignment horizontal="right" vertical="center" wrapText="1"/>
    </xf>
    <xf numFmtId="164" fontId="4" fillId="2" borderId="50" xfId="1" applyFont="1" applyFill="1" applyBorder="1" applyAlignment="1">
      <alignment horizontal="center" vertical="center"/>
    </xf>
    <xf numFmtId="164" fontId="4" fillId="0" borderId="51" xfId="1" applyFont="1" applyFill="1" applyBorder="1" applyAlignment="1">
      <alignment horizontal="center" vertical="center"/>
    </xf>
    <xf numFmtId="164" fontId="4" fillId="2" borderId="14" xfId="1" applyFont="1" applyFill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166" fontId="4" fillId="0" borderId="9" xfId="1" applyNumberFormat="1" applyFont="1" applyFill="1" applyBorder="1" applyAlignment="1">
      <alignment horizontal="center" vertical="center"/>
    </xf>
    <xf numFmtId="164" fontId="4" fillId="2" borderId="49" xfId="1" applyFont="1" applyFill="1" applyBorder="1" applyAlignment="1">
      <alignment horizontal="center" vertical="center"/>
    </xf>
    <xf numFmtId="14" fontId="20" fillId="0" borderId="0" xfId="0" applyNumberFormat="1" applyFont="1" applyAlignment="1">
      <alignment vertical="center"/>
    </xf>
    <xf numFmtId="14" fontId="20" fillId="0" borderId="27" xfId="0" applyNumberFormat="1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/>
    </xf>
    <xf numFmtId="4" fontId="20" fillId="0" borderId="26" xfId="0" applyNumberFormat="1" applyFont="1" applyBorder="1" applyAlignment="1">
      <alignment horizontal="center" vertical="center" wrapText="1"/>
    </xf>
    <xf numFmtId="0" fontId="4" fillId="6" borderId="21" xfId="0" applyFont="1" applyFill="1" applyBorder="1" applyAlignment="1">
      <alignment vertical="top"/>
    </xf>
    <xf numFmtId="0" fontId="4" fillId="6" borderId="25" xfId="0" applyFont="1" applyFill="1" applyBorder="1" applyAlignment="1">
      <alignment horizontal="left" vertical="top"/>
    </xf>
    <xf numFmtId="0" fontId="4" fillId="6" borderId="29" xfId="0" applyFont="1" applyFill="1" applyBorder="1" applyAlignment="1">
      <alignment vertical="top" wrapText="1"/>
    </xf>
    <xf numFmtId="0" fontId="22" fillId="7" borderId="15" xfId="0" applyFont="1" applyFill="1" applyBorder="1" applyAlignment="1">
      <alignment vertical="center" wrapText="1"/>
    </xf>
    <xf numFmtId="0" fontId="20" fillId="7" borderId="15" xfId="0" applyFont="1" applyFill="1" applyBorder="1" applyAlignment="1">
      <alignment horizontal="justify" vertical="top" wrapText="1"/>
    </xf>
    <xf numFmtId="0" fontId="25" fillId="7" borderId="0" xfId="0" applyFont="1" applyFill="1" applyAlignment="1">
      <alignment wrapText="1"/>
    </xf>
    <xf numFmtId="0" fontId="20" fillId="7" borderId="22" xfId="0" applyFont="1" applyFill="1" applyBorder="1" applyAlignment="1">
      <alignment horizontal="justify" vertical="top" wrapText="1"/>
    </xf>
    <xf numFmtId="0" fontId="7" fillId="7" borderId="15" xfId="0" applyFont="1" applyFill="1" applyBorder="1" applyAlignment="1">
      <alignment horizontal="left" wrapText="1"/>
    </xf>
    <xf numFmtId="0" fontId="20" fillId="7" borderId="47" xfId="0" applyFont="1" applyFill="1" applyBorder="1" applyAlignment="1">
      <alignment horizontal="left" vertical="top" wrapText="1"/>
    </xf>
    <xf numFmtId="0" fontId="25" fillId="7" borderId="47" xfId="0" applyFont="1" applyFill="1" applyBorder="1" applyAlignment="1">
      <alignment wrapText="1"/>
    </xf>
    <xf numFmtId="0" fontId="7" fillId="7" borderId="47" xfId="0" applyFont="1" applyFill="1" applyBorder="1" applyAlignment="1">
      <alignment horizontal="left" vertical="top" wrapText="1"/>
    </xf>
    <xf numFmtId="0" fontId="25" fillId="0" borderId="47" xfId="0" applyFont="1" applyBorder="1" applyAlignment="1">
      <alignment wrapText="1"/>
    </xf>
    <xf numFmtId="0" fontId="26" fillId="5" borderId="0" xfId="0" applyFont="1" applyFill="1" applyAlignment="1">
      <alignment wrapText="1"/>
    </xf>
    <xf numFmtId="0" fontId="20" fillId="6" borderId="60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wrapText="1"/>
    </xf>
    <xf numFmtId="165" fontId="27" fillId="0" borderId="0" xfId="0" applyNumberFormat="1" applyFont="1"/>
    <xf numFmtId="0" fontId="4" fillId="6" borderId="5" xfId="0" applyFont="1" applyFill="1" applyBorder="1" applyAlignment="1">
      <alignment horizontal="left" vertical="center" wrapText="1"/>
    </xf>
    <xf numFmtId="0" fontId="20" fillId="0" borderId="15" xfId="0" applyFont="1" applyBorder="1" applyAlignment="1">
      <alignment vertical="center" wrapText="1"/>
    </xf>
    <xf numFmtId="166" fontId="20" fillId="2" borderId="15" xfId="1" applyNumberFormat="1" applyFont="1" applyFill="1" applyBorder="1" applyAlignment="1">
      <alignment horizontal="center" vertical="center"/>
    </xf>
    <xf numFmtId="166" fontId="20" fillId="2" borderId="15" xfId="1" applyNumberFormat="1" applyFont="1" applyFill="1" applyBorder="1" applyAlignment="1">
      <alignment vertical="center"/>
    </xf>
    <xf numFmtId="0" fontId="25" fillId="2" borderId="15" xfId="0" applyFont="1" applyFill="1" applyBorder="1" applyAlignment="1">
      <alignment vertical="top" wrapText="1"/>
    </xf>
    <xf numFmtId="164" fontId="20" fillId="3" borderId="15" xfId="1" applyFont="1" applyFill="1" applyBorder="1" applyAlignment="1">
      <alignment horizontal="center" vertical="center"/>
    </xf>
    <xf numFmtId="164" fontId="20" fillId="2" borderId="15" xfId="1" applyFont="1" applyFill="1" applyBorder="1" applyAlignment="1">
      <alignment horizontal="center" vertical="center" wrapText="1"/>
    </xf>
    <xf numFmtId="0" fontId="4" fillId="6" borderId="55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vertical="center" wrapText="1"/>
    </xf>
    <xf numFmtId="0" fontId="20" fillId="2" borderId="4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/>
    </xf>
    <xf numFmtId="164" fontId="20" fillId="3" borderId="9" xfId="1" applyFont="1" applyFill="1" applyBorder="1" applyAlignment="1">
      <alignment horizontal="center" vertical="center"/>
    </xf>
    <xf numFmtId="164" fontId="20" fillId="2" borderId="54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5" xfId="1" applyFont="1" applyFill="1" applyBorder="1" applyAlignment="1">
      <alignment horizontal="center" vertical="center" wrapText="1"/>
    </xf>
    <xf numFmtId="164" fontId="4" fillId="2" borderId="4" xfId="1" applyFont="1" applyFill="1" applyBorder="1" applyAlignment="1">
      <alignment horizontal="center" vertical="center" wrapText="1"/>
    </xf>
    <xf numFmtId="164" fontId="4" fillId="2" borderId="59" xfId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164" fontId="26" fillId="2" borderId="2" xfId="1" applyFont="1" applyFill="1" applyBorder="1" applyAlignment="1">
      <alignment horizontal="center" vertical="center" wrapText="1"/>
    </xf>
    <xf numFmtId="164" fontId="4" fillId="2" borderId="17" xfId="1" applyFont="1" applyFill="1" applyBorder="1" applyAlignment="1">
      <alignment horizontal="right" vertical="center" wrapText="1"/>
    </xf>
    <xf numFmtId="164" fontId="4" fillId="2" borderId="53" xfId="1" applyFont="1" applyFill="1" applyBorder="1" applyAlignment="1">
      <alignment horizontal="right"/>
    </xf>
    <xf numFmtId="164" fontId="20" fillId="2" borderId="14" xfId="1" applyFont="1" applyFill="1" applyBorder="1" applyAlignment="1">
      <alignment wrapText="1"/>
    </xf>
    <xf numFmtId="164" fontId="4" fillId="0" borderId="8" xfId="1" applyFont="1" applyBorder="1" applyAlignment="1">
      <alignment horizontal="right" wrapText="1"/>
    </xf>
    <xf numFmtId="164" fontId="4" fillId="2" borderId="0" xfId="1" applyFont="1" applyFill="1" applyBorder="1" applyAlignment="1">
      <alignment horizontal="center" vertical="center"/>
    </xf>
    <xf numFmtId="165" fontId="27" fillId="0" borderId="0" xfId="0" applyNumberFormat="1" applyFont="1" applyAlignment="1">
      <alignment horizontal="center"/>
    </xf>
    <xf numFmtId="0" fontId="4" fillId="8" borderId="21" xfId="0" applyFont="1" applyFill="1" applyBorder="1" applyAlignment="1">
      <alignment wrapText="1"/>
    </xf>
    <xf numFmtId="0" fontId="4" fillId="8" borderId="25" xfId="0" applyFont="1" applyFill="1" applyBorder="1" applyAlignment="1">
      <alignment horizontal="center" wrapText="1"/>
    </xf>
    <xf numFmtId="4" fontId="20" fillId="3" borderId="26" xfId="0" applyNumberFormat="1" applyFont="1" applyFill="1" applyBorder="1" applyAlignment="1">
      <alignment horizontal="right" vertical="center" wrapText="1"/>
    </xf>
    <xf numFmtId="0" fontId="4" fillId="8" borderId="29" xfId="0" applyFont="1" applyFill="1" applyBorder="1" applyAlignment="1">
      <alignment wrapText="1"/>
    </xf>
    <xf numFmtId="4" fontId="20" fillId="3" borderId="15" xfId="0" applyNumberFormat="1" applyFont="1" applyFill="1" applyBorder="1" applyAlignment="1">
      <alignment horizontal="right" vertical="center" wrapText="1"/>
    </xf>
    <xf numFmtId="4" fontId="20" fillId="3" borderId="30" xfId="0" applyNumberFormat="1" applyFont="1" applyFill="1" applyBorder="1" applyAlignment="1">
      <alignment horizontal="right" vertical="center" wrapText="1"/>
    </xf>
    <xf numFmtId="4" fontId="20" fillId="2" borderId="0" xfId="0" applyNumberFormat="1" applyFont="1" applyFill="1" applyAlignment="1">
      <alignment wrapText="1"/>
    </xf>
    <xf numFmtId="43" fontId="4" fillId="0" borderId="0" xfId="0" applyNumberFormat="1" applyFont="1" applyAlignment="1">
      <alignment horizontal="right"/>
    </xf>
    <xf numFmtId="0" fontId="20" fillId="0" borderId="23" xfId="0" applyFont="1" applyBorder="1" applyAlignment="1">
      <alignment horizontal="right" wrapText="1"/>
    </xf>
    <xf numFmtId="0" fontId="20" fillId="2" borderId="27" xfId="0" applyFont="1" applyFill="1" applyBorder="1" applyAlignment="1">
      <alignment horizontal="right" vertical="center" wrapText="1"/>
    </xf>
    <xf numFmtId="164" fontId="20" fillId="0" borderId="22" xfId="1" applyFont="1" applyBorder="1" applyAlignment="1">
      <alignment horizontal="right" wrapText="1"/>
    </xf>
    <xf numFmtId="164" fontId="20" fillId="2" borderId="27" xfId="1" applyFont="1" applyFill="1" applyBorder="1" applyAlignment="1">
      <alignment horizontal="right" vertical="center" wrapText="1"/>
    </xf>
    <xf numFmtId="164" fontId="4" fillId="0" borderId="24" xfId="1" applyFont="1" applyBorder="1" applyAlignment="1">
      <alignment horizontal="right" wrapText="1"/>
    </xf>
    <xf numFmtId="164" fontId="20" fillId="2" borderId="30" xfId="1" applyFont="1" applyFill="1" applyBorder="1" applyAlignment="1">
      <alignment horizontal="right" vertical="center" wrapText="1"/>
    </xf>
    <xf numFmtId="4" fontId="20" fillId="2" borderId="0" xfId="0" applyNumberFormat="1" applyFont="1" applyFill="1" applyAlignment="1">
      <alignment horizontal="right" vertical="center" wrapText="1"/>
    </xf>
    <xf numFmtId="9" fontId="4" fillId="0" borderId="28" xfId="4" applyFont="1" applyBorder="1" applyAlignment="1">
      <alignment horizontal="right" wrapText="1" indent="1"/>
    </xf>
    <xf numFmtId="9" fontId="4" fillId="6" borderId="28" xfId="4" applyFont="1" applyFill="1" applyBorder="1" applyAlignment="1">
      <alignment horizontal="right" wrapText="1"/>
    </xf>
    <xf numFmtId="9" fontId="4" fillId="0" borderId="28" xfId="0" applyNumberFormat="1" applyFont="1" applyBorder="1" applyAlignment="1">
      <alignment horizontal="right" wrapText="1"/>
    </xf>
    <xf numFmtId="10" fontId="4" fillId="0" borderId="28" xfId="0" applyNumberFormat="1" applyFont="1" applyBorder="1" applyAlignment="1">
      <alignment horizontal="right" wrapText="1"/>
    </xf>
    <xf numFmtId="10" fontId="4" fillId="2" borderId="28" xfId="0" applyNumberFormat="1" applyFont="1" applyFill="1" applyBorder="1" applyAlignment="1">
      <alignment horizontal="right" wrapText="1"/>
    </xf>
    <xf numFmtId="10" fontId="4" fillId="6" borderId="34" xfId="0" applyNumberFormat="1" applyFont="1" applyFill="1" applyBorder="1" applyAlignment="1">
      <alignment horizontal="right" wrapText="1"/>
    </xf>
    <xf numFmtId="0" fontId="25" fillId="0" borderId="0" xfId="0" applyFont="1" applyAlignment="1">
      <alignment vertical="top" wrapText="1"/>
    </xf>
    <xf numFmtId="0" fontId="17" fillId="0" borderId="13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1" applyFont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9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9" fontId="8" fillId="2" borderId="29" xfId="0" applyNumberFormat="1" applyFont="1" applyFill="1" applyBorder="1" applyAlignment="1">
      <alignment horizontal="center" vertical="center" wrapText="1"/>
    </xf>
    <xf numFmtId="9" fontId="8" fillId="2" borderId="1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0" fontId="10" fillId="6" borderId="5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167" fontId="8" fillId="0" borderId="13" xfId="0" applyNumberFormat="1" applyFont="1" applyBorder="1" applyAlignment="1">
      <alignment horizontal="center" vertical="top" wrapText="1"/>
    </xf>
    <xf numFmtId="167" fontId="8" fillId="0" borderId="17" xfId="0" applyNumberFormat="1" applyFont="1" applyBorder="1" applyAlignment="1">
      <alignment horizontal="center" vertical="top" wrapText="1"/>
    </xf>
    <xf numFmtId="4" fontId="8" fillId="0" borderId="13" xfId="0" applyNumberFormat="1" applyFont="1" applyBorder="1" applyAlignment="1">
      <alignment horizontal="center" wrapText="1"/>
    </xf>
    <xf numFmtId="4" fontId="8" fillId="0" borderId="17" xfId="0" applyNumberFormat="1" applyFont="1" applyBorder="1" applyAlignment="1">
      <alignment horizont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3" fontId="10" fillId="0" borderId="0" xfId="0" applyNumberFormat="1" applyFont="1" applyAlignment="1">
      <alignment horizontal="center" vertical="center" wrapText="1"/>
    </xf>
    <xf numFmtId="4" fontId="17" fillId="0" borderId="13" xfId="0" applyNumberFormat="1" applyFont="1" applyBorder="1" applyAlignment="1">
      <alignment horizontal="center"/>
    </xf>
    <xf numFmtId="4" fontId="17" fillId="0" borderId="16" xfId="0" applyNumberFormat="1" applyFont="1" applyBorder="1" applyAlignment="1">
      <alignment horizontal="center"/>
    </xf>
    <xf numFmtId="4" fontId="17" fillId="0" borderId="17" xfId="0" applyNumberFormat="1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4" fontId="8" fillId="6" borderId="13" xfId="0" applyNumberFormat="1" applyFont="1" applyFill="1" applyBorder="1" applyAlignment="1">
      <alignment horizontal="center" wrapText="1"/>
    </xf>
    <xf numFmtId="4" fontId="8" fillId="6" borderId="17" xfId="0" applyNumberFormat="1" applyFont="1" applyFill="1" applyBorder="1" applyAlignment="1">
      <alignment horizontal="center" wrapText="1"/>
    </xf>
    <xf numFmtId="4" fontId="8" fillId="4" borderId="2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17" xfId="0" applyNumberFormat="1" applyFont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wrapText="1"/>
    </xf>
    <xf numFmtId="3" fontId="8" fillId="0" borderId="17" xfId="0" applyNumberFormat="1" applyFont="1" applyBorder="1" applyAlignment="1">
      <alignment horizontal="center" wrapText="1"/>
    </xf>
    <xf numFmtId="3" fontId="8" fillId="0" borderId="13" xfId="0" applyNumberFormat="1" applyFont="1" applyBorder="1" applyAlignment="1">
      <alignment horizontal="center" vertical="center" wrapText="1"/>
    </xf>
    <xf numFmtId="3" fontId="8" fillId="0" borderId="17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4" fillId="6" borderId="6" xfId="0" applyFont="1" applyFill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 vertical="top" wrapText="1"/>
    </xf>
    <xf numFmtId="0" fontId="20" fillId="6" borderId="12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164" fontId="4" fillId="0" borderId="0" xfId="1" applyFont="1" applyBorder="1" applyAlignment="1">
      <alignment horizontal="center" wrapText="1"/>
    </xf>
    <xf numFmtId="0" fontId="26" fillId="5" borderId="0" xfId="0" applyFont="1" applyFill="1" applyAlignment="1">
      <alignment horizontal="center" wrapText="1"/>
    </xf>
    <xf numFmtId="0" fontId="4" fillId="2" borderId="15" xfId="0" applyFont="1" applyFill="1" applyBorder="1" applyAlignment="1">
      <alignment horizontal="center" vertical="center" wrapText="1"/>
    </xf>
    <xf numFmtId="9" fontId="4" fillId="2" borderId="29" xfId="0" applyNumberFormat="1" applyFont="1" applyFill="1" applyBorder="1" applyAlignment="1">
      <alignment horizontal="center" vertical="center" wrapText="1"/>
    </xf>
    <xf numFmtId="9" fontId="4" fillId="2" borderId="15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6" borderId="2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4" fontId="4" fillId="6" borderId="13" xfId="0" applyNumberFormat="1" applyFont="1" applyFill="1" applyBorder="1" applyAlignment="1">
      <alignment horizontal="center" wrapText="1"/>
    </xf>
    <xf numFmtId="4" fontId="4" fillId="6" borderId="17" xfId="0" applyNumberFormat="1" applyFont="1" applyFill="1" applyBorder="1" applyAlignment="1">
      <alignment horizontal="center" wrapText="1"/>
    </xf>
    <xf numFmtId="0" fontId="4" fillId="6" borderId="14" xfId="0" applyFont="1" applyFill="1" applyBorder="1" applyAlignment="1">
      <alignment horizontal="center" vertical="center" wrapText="1"/>
    </xf>
    <xf numFmtId="0" fontId="20" fillId="6" borderId="37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20" fillId="6" borderId="7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7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4" fontId="4" fillId="0" borderId="13" xfId="0" applyNumberFormat="1" applyFont="1" applyBorder="1" applyAlignment="1">
      <alignment horizontal="center" wrapText="1"/>
    </xf>
    <xf numFmtId="4" fontId="4" fillId="0" borderId="17" xfId="0" applyNumberFormat="1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wrapText="1"/>
    </xf>
    <xf numFmtId="0" fontId="4" fillId="6" borderId="16" xfId="0" applyFont="1" applyFill="1" applyBorder="1" applyAlignment="1">
      <alignment horizontal="center" wrapText="1"/>
    </xf>
    <xf numFmtId="0" fontId="4" fillId="6" borderId="17" xfId="0" applyFont="1" applyFill="1" applyBorder="1" applyAlignment="1">
      <alignment horizontal="center" wrapText="1"/>
    </xf>
    <xf numFmtId="0" fontId="4" fillId="6" borderId="14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top" wrapText="1"/>
    </xf>
    <xf numFmtId="0" fontId="20" fillId="6" borderId="2" xfId="0" applyFont="1" applyFill="1" applyBorder="1" applyAlignment="1">
      <alignment horizontal="center" vertical="top" wrapText="1"/>
    </xf>
    <xf numFmtId="0" fontId="20" fillId="6" borderId="5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0" fontId="4" fillId="6" borderId="7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center" vertical="top" wrapText="1"/>
    </xf>
    <xf numFmtId="0" fontId="20" fillId="6" borderId="10" xfId="0" applyFont="1" applyFill="1" applyBorder="1" applyAlignment="1">
      <alignment horizontal="center" vertical="top" wrapText="1"/>
    </xf>
    <xf numFmtId="0" fontId="20" fillId="6" borderId="9" xfId="0" applyFont="1" applyFill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7" fillId="6" borderId="13" xfId="0" applyFont="1" applyFill="1" applyBorder="1" applyAlignment="1">
      <alignment horizontal="center"/>
    </xf>
    <xf numFmtId="0" fontId="27" fillId="6" borderId="16" xfId="0" applyFont="1" applyFill="1" applyBorder="1" applyAlignment="1">
      <alignment horizontal="center"/>
    </xf>
    <xf numFmtId="0" fontId="27" fillId="6" borderId="17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3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25" fillId="0" borderId="0" xfId="0" applyFont="1" applyAlignment="1">
      <alignment horizontal="left"/>
    </xf>
    <xf numFmtId="0" fontId="4" fillId="6" borderId="13" xfId="0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4" fillId="6" borderId="17" xfId="0" applyFont="1" applyFill="1" applyBorder="1" applyAlignment="1">
      <alignment horizontal="center"/>
    </xf>
    <xf numFmtId="4" fontId="4" fillId="6" borderId="13" xfId="0" applyNumberFormat="1" applyFont="1" applyFill="1" applyBorder="1" applyAlignment="1">
      <alignment horizontal="center" vertical="center"/>
    </xf>
    <xf numFmtId="4" fontId="4" fillId="6" borderId="16" xfId="0" applyNumberFormat="1" applyFont="1" applyFill="1" applyBorder="1" applyAlignment="1">
      <alignment horizontal="center" vertical="center"/>
    </xf>
    <xf numFmtId="4" fontId="4" fillId="6" borderId="17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0" fillId="6" borderId="14" xfId="0" applyFont="1" applyFill="1" applyBorder="1" applyAlignment="1">
      <alignment horizontal="center" vertical="center" wrapText="1"/>
    </xf>
    <xf numFmtId="9" fontId="4" fillId="0" borderId="13" xfId="0" applyNumberFormat="1" applyFont="1" applyBorder="1" applyAlignment="1">
      <alignment horizontal="center" vertical="center" wrapText="1"/>
    </xf>
    <xf numFmtId="9" fontId="4" fillId="0" borderId="16" xfId="0" applyNumberFormat="1" applyFont="1" applyBorder="1" applyAlignment="1">
      <alignment horizontal="center" vertical="center" wrapText="1"/>
    </xf>
    <xf numFmtId="9" fontId="4" fillId="0" borderId="17" xfId="0" applyNumberFormat="1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top" wrapText="1"/>
    </xf>
    <xf numFmtId="0" fontId="3" fillId="0" borderId="63" xfId="0" applyFont="1" applyBorder="1" applyAlignment="1">
      <alignment horizontal="center" vertical="top" wrapText="1"/>
    </xf>
    <xf numFmtId="0" fontId="3" fillId="0" borderId="64" xfId="0" applyFont="1" applyBorder="1" applyAlignment="1">
      <alignment horizontal="center" vertical="top" wrapText="1"/>
    </xf>
    <xf numFmtId="9" fontId="4" fillId="2" borderId="13" xfId="0" applyNumberFormat="1" applyFont="1" applyFill="1" applyBorder="1" applyAlignment="1">
      <alignment horizontal="center" vertical="center" wrapText="1"/>
    </xf>
    <xf numFmtId="9" fontId="4" fillId="2" borderId="16" xfId="0" applyNumberFormat="1" applyFont="1" applyFill="1" applyBorder="1" applyAlignment="1">
      <alignment horizontal="center" vertical="center" wrapText="1"/>
    </xf>
    <xf numFmtId="9" fontId="4" fillId="2" borderId="17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Alignment="1">
      <alignment horizontal="center" vertical="center" wrapText="1"/>
    </xf>
    <xf numFmtId="0" fontId="4" fillId="2" borderId="13" xfId="0" applyFont="1" applyFill="1" applyBorder="1" applyAlignment="1">
      <alignment horizontal="left" wrapText="1"/>
    </xf>
    <xf numFmtId="0" fontId="4" fillId="2" borderId="16" xfId="0" applyFont="1" applyFill="1" applyBorder="1" applyAlignment="1">
      <alignment horizontal="left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9" fontId="4" fillId="2" borderId="46" xfId="0" applyNumberFormat="1" applyFont="1" applyFill="1" applyBorder="1" applyAlignment="1">
      <alignment horizontal="center" vertical="center" wrapText="1"/>
    </xf>
    <xf numFmtId="9" fontId="4" fillId="2" borderId="43" xfId="0" applyNumberFormat="1" applyFont="1" applyFill="1" applyBorder="1" applyAlignment="1">
      <alignment horizontal="center" vertical="center" wrapText="1"/>
    </xf>
    <xf numFmtId="9" fontId="4" fillId="2" borderId="47" xfId="0" applyNumberFormat="1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6" borderId="13" xfId="0" applyFont="1" applyFill="1" applyBorder="1" applyAlignment="1">
      <alignment horizontal="left" vertical="center" wrapText="1"/>
    </xf>
    <xf numFmtId="0" fontId="4" fillId="6" borderId="16" xfId="0" applyFont="1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27" fillId="6" borderId="10" xfId="0" applyFont="1" applyFill="1" applyBorder="1" applyAlignment="1">
      <alignment horizontal="center"/>
    </xf>
    <xf numFmtId="0" fontId="27" fillId="6" borderId="0" xfId="0" applyFont="1" applyFill="1" applyAlignment="1">
      <alignment horizontal="center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9" fontId="4" fillId="2" borderId="18" xfId="0" applyNumberFormat="1" applyFont="1" applyFill="1" applyBorder="1" applyAlignment="1">
      <alignment horizontal="center" vertical="center" wrapText="1"/>
    </xf>
    <xf numFmtId="9" fontId="4" fillId="2" borderId="19" xfId="0" applyNumberFormat="1" applyFont="1" applyFill="1" applyBorder="1" applyAlignment="1">
      <alignment horizontal="center" vertical="center" wrapText="1"/>
    </xf>
    <xf numFmtId="9" fontId="4" fillId="2" borderId="4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" fontId="4" fillId="6" borderId="2" xfId="0" applyNumberFormat="1" applyFont="1" applyFill="1" applyBorder="1" applyAlignment="1">
      <alignment horizontal="center" wrapText="1"/>
    </xf>
  </cellXfs>
  <cellStyles count="5">
    <cellStyle name="Millares" xfId="1" builtinId="3"/>
    <cellStyle name="Millares 2" xfId="2" xr:uid="{6B34CFBF-05CB-45AA-B180-FA091A5B4712}"/>
    <cellStyle name="Moneda" xfId="3" builtinId="4"/>
    <cellStyle name="Normal" xfId="0" builtinId="0"/>
    <cellStyle name="Porcentaje" xfId="4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71736</xdr:colOff>
      <xdr:row>0</xdr:row>
      <xdr:rowOff>33226</xdr:rowOff>
    </xdr:from>
    <xdr:to>
      <xdr:col>2</xdr:col>
      <xdr:colOff>99190</xdr:colOff>
      <xdr:row>5</xdr:row>
      <xdr:rowOff>28535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1CFB35FF-FB22-453A-9877-6EA293096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736" y="33226"/>
          <a:ext cx="1356524" cy="792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4DDB0E06-EEFF-4951-872A-8B9ECB9A2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609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DE1A7520-2080-4E51-9F27-F4FE0035F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45620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5A42667C-8A49-43C5-BE1C-3E0A831C8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609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1E9B8D82-3C46-4DEA-BE64-C77DDF44E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60954" cy="78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rlos Sanquintin" id="{547EFCDC-681C-47AD-A28E-343C6FA15F63}" userId="S::carlossanquintin@coniaf.onmicrosoft.com::68a97489-eb27-4b56-90f9-d22c5b85cbf4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8" dT="2022-12-27T13:28:24.76" personId="{547EFCDC-681C-47AD-A28E-343C6FA15F63}" id="{94FF534A-8EFD-43B1-8563-6A7155560070}">
    <text>Debes dar el detalle, si fue una visita de seguimiento y si el técnico le compaño, sus recomendaciones de seguimiento, de acuerdo a la justificación de la solicitud del viatico y pago a facilitador.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9" dT="2022-12-27T13:28:24.76" personId="{547EFCDC-681C-47AD-A28E-343C6FA15F63}" id="{B6FFB4F7-5294-4EC8-A722-CF0CF7E33B0A}">
    <text>Debes dar el detalle, si fue una visita de seguimiento y si el técnico le compaño, sus recomendaciones de seguimiento, de acuerdo a la justificación de la solicitud del viatico y pago a facilitador.</text>
  </threadedComment>
  <threadedComment ref="C22" dT="2022-12-27T13:28:24.76" personId="{547EFCDC-681C-47AD-A28E-343C6FA15F63}" id="{8F53D9BE-0430-49DA-A941-02DD3A3E6A7C}">
    <text>Debes dar el detalle, si fue una visita de seguimiento y si el técnico le compaño, sus recomendaciones de seguimiento, de acuerdo a la justificación de la solicitud del viatico y pago a facilitador.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18" dT="2022-12-27T13:28:24.76" personId="{547EFCDC-681C-47AD-A28E-343C6FA15F63}" id="{63C5CD5F-D1AC-41C5-9649-64F5B130B9EF}">
    <text>Debes dar el detalle, si fue una visita de seguimiento y si el técnico le compaño, sus recomendaciones de seguimiento, de acuerdo a la justificación de la solicitud del viatico y pago a facilitador.</text>
  </threadedComment>
  <threadedComment ref="C20" dT="2022-12-27T13:28:24.76" personId="{547EFCDC-681C-47AD-A28E-343C6FA15F63}" id="{64327B6A-3D41-4983-B483-6F8930E63076}">
    <text>Debes dar el detalle, si fue una visita de seguimiento y si el técnico le compaño, sus recomendaciones de seguimiento, de acuerdo a la justificación de la solicitud del viatico y pago a facilitador.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1AB44-43EC-456D-8F9B-537C5DA36D10}">
  <sheetPr>
    <pageSetUpPr fitToPage="1"/>
  </sheetPr>
  <dimension ref="A1:V151"/>
  <sheetViews>
    <sheetView topLeftCell="A14" zoomScale="80" zoomScaleNormal="80" workbookViewId="0">
      <selection activeCell="I99" sqref="I99"/>
    </sheetView>
  </sheetViews>
  <sheetFormatPr baseColWidth="10" defaultRowHeight="15" x14ac:dyDescent="0.25"/>
  <cols>
    <col min="1" max="1" width="4" customWidth="1"/>
    <col min="2" max="2" width="16" customWidth="1"/>
    <col min="3" max="3" width="43.42578125" customWidth="1"/>
    <col min="4" max="4" width="19.140625" customWidth="1"/>
    <col min="5" max="5" width="16.7109375" customWidth="1"/>
    <col min="6" max="6" width="13.140625" customWidth="1"/>
    <col min="7" max="7" width="14.28515625" customWidth="1"/>
    <col min="8" max="8" width="11" customWidth="1"/>
    <col min="9" max="9" width="20.5703125" customWidth="1"/>
    <col min="10" max="10" width="19.28515625" customWidth="1"/>
    <col min="11" max="11" width="18" customWidth="1"/>
    <col min="12" max="12" width="20.42578125" customWidth="1"/>
    <col min="13" max="13" width="20.5703125" customWidth="1"/>
    <col min="14" max="14" width="16.140625" customWidth="1"/>
    <col min="15" max="15" width="17" customWidth="1"/>
    <col min="16" max="16" width="20.28515625" customWidth="1"/>
    <col min="17" max="17" width="15.42578125" customWidth="1"/>
    <col min="18" max="18" width="15" customWidth="1"/>
    <col min="19" max="20" width="17.5703125" customWidth="1"/>
    <col min="21" max="21" width="20" customWidth="1"/>
  </cols>
  <sheetData>
    <row r="1" spans="1:15" ht="18" x14ac:dyDescent="0.25">
      <c r="A1" s="652" t="s">
        <v>0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</row>
    <row r="2" spans="1:15" ht="6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653" t="s">
        <v>1</v>
      </c>
      <c r="B3" s="653"/>
      <c r="C3" s="653"/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653"/>
    </row>
    <row r="4" spans="1:15" ht="15.75" x14ac:dyDescent="0.25">
      <c r="A4" s="653" t="s">
        <v>2</v>
      </c>
      <c r="B4" s="653"/>
      <c r="C4" s="653"/>
      <c r="D4" s="653"/>
      <c r="E4" s="653"/>
      <c r="F4" s="653"/>
      <c r="G4" s="653"/>
      <c r="H4" s="653"/>
      <c r="I4" s="653"/>
      <c r="J4" s="653"/>
      <c r="K4" s="653"/>
      <c r="L4" s="653"/>
      <c r="M4" s="653"/>
      <c r="N4" s="653"/>
      <c r="O4" s="653"/>
    </row>
    <row r="5" spans="1:15" ht="6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8" x14ac:dyDescent="0.25">
      <c r="A6" s="654" t="s">
        <v>3</v>
      </c>
      <c r="B6" s="654"/>
      <c r="C6" s="654"/>
      <c r="D6" s="654"/>
      <c r="E6" s="654"/>
      <c r="F6" s="654"/>
      <c r="G6" s="654"/>
      <c r="H6" s="654"/>
      <c r="I6" s="654"/>
      <c r="J6" s="654"/>
      <c r="K6" s="654"/>
      <c r="L6" s="654"/>
      <c r="M6" s="654"/>
      <c r="N6" s="654"/>
      <c r="O6" s="654"/>
    </row>
    <row r="7" spans="1:15" ht="8.2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8" customHeight="1" x14ac:dyDescent="0.25">
      <c r="A8" s="655" t="s">
        <v>4</v>
      </c>
      <c r="B8" s="655"/>
      <c r="C8" s="655"/>
      <c r="D8" s="655"/>
      <c r="E8" s="655"/>
      <c r="F8" s="655"/>
      <c r="G8" s="655"/>
      <c r="H8" s="655"/>
      <c r="I8" s="655"/>
      <c r="J8" s="655"/>
      <c r="K8" s="655"/>
      <c r="L8" s="655"/>
      <c r="M8" s="655"/>
      <c r="N8" s="655"/>
      <c r="O8" s="4"/>
    </row>
    <row r="9" spans="1:15" ht="18" customHeight="1" x14ac:dyDescent="0.25">
      <c r="A9" s="655"/>
      <c r="B9" s="655"/>
      <c r="C9" s="655"/>
      <c r="D9" s="655"/>
      <c r="E9" s="655"/>
      <c r="F9" s="655"/>
      <c r="G9" s="655"/>
      <c r="H9" s="655"/>
      <c r="I9" s="655"/>
      <c r="J9" s="655"/>
      <c r="K9" s="655"/>
      <c r="L9" s="655"/>
      <c r="M9" s="655"/>
      <c r="N9" s="655"/>
      <c r="O9" s="4"/>
    </row>
    <row r="10" spans="1:15" ht="18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8" customHeight="1" x14ac:dyDescent="0.25">
      <c r="A11" s="656" t="s">
        <v>139</v>
      </c>
      <c r="B11" s="656"/>
      <c r="C11" s="656"/>
      <c r="D11" s="656"/>
      <c r="E11" s="656"/>
      <c r="F11" s="656"/>
      <c r="G11" s="656"/>
      <c r="H11" s="656"/>
      <c r="I11" s="656"/>
      <c r="J11" s="656"/>
      <c r="K11" s="656"/>
      <c r="L11" s="656"/>
      <c r="M11" s="656"/>
      <c r="N11" s="656"/>
      <c r="O11" s="60"/>
    </row>
    <row r="12" spans="1:1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5"/>
    </row>
    <row r="14" spans="1:15" ht="15.75" customHeight="1" thickBot="1" x14ac:dyDescent="0.3">
      <c r="A14" s="666" t="s">
        <v>5</v>
      </c>
      <c r="B14" s="666"/>
      <c r="C14" s="666"/>
      <c r="D14" s="666"/>
      <c r="E14" s="666"/>
      <c r="F14" s="666"/>
      <c r="G14" s="666"/>
      <c r="H14" s="666"/>
      <c r="I14" s="666"/>
      <c r="J14" s="666"/>
      <c r="K14" s="666"/>
      <c r="L14" s="666"/>
      <c r="M14" s="666"/>
      <c r="N14" s="666"/>
      <c r="O14" s="666"/>
    </row>
    <row r="15" spans="1:15" ht="27" customHeight="1" thickBot="1" x14ac:dyDescent="0.3">
      <c r="A15" s="667" t="s">
        <v>6</v>
      </c>
      <c r="B15" s="670" t="s">
        <v>7</v>
      </c>
      <c r="C15" s="671"/>
      <c r="D15" s="657" t="s">
        <v>8</v>
      </c>
      <c r="E15" s="657" t="s">
        <v>9</v>
      </c>
      <c r="F15" s="657" t="s">
        <v>10</v>
      </c>
      <c r="G15" s="657" t="s">
        <v>11</v>
      </c>
      <c r="H15" s="670" t="s">
        <v>12</v>
      </c>
      <c r="I15" s="671"/>
      <c r="J15" s="657" t="s">
        <v>59</v>
      </c>
      <c r="K15" s="77"/>
      <c r="L15" s="77"/>
      <c r="M15" s="657" t="s">
        <v>13</v>
      </c>
      <c r="N15" s="657" t="s">
        <v>14</v>
      </c>
      <c r="O15" s="659" t="s">
        <v>15</v>
      </c>
    </row>
    <row r="16" spans="1:15" ht="15.75" thickBot="1" x14ac:dyDescent="0.3">
      <c r="A16" s="668"/>
      <c r="B16" s="672"/>
      <c r="C16" s="673"/>
      <c r="D16" s="658"/>
      <c r="E16" s="658"/>
      <c r="F16" s="658"/>
      <c r="G16" s="674"/>
      <c r="H16" s="61" t="s">
        <v>16</v>
      </c>
      <c r="I16" s="657" t="s">
        <v>17</v>
      </c>
      <c r="J16" s="675"/>
      <c r="K16" s="80"/>
      <c r="L16" s="80"/>
      <c r="M16" s="675"/>
      <c r="N16" s="658"/>
      <c r="O16" s="660"/>
    </row>
    <row r="17" spans="1:19" ht="26.25" customHeight="1" x14ac:dyDescent="0.25">
      <c r="A17" s="669"/>
      <c r="B17" s="77" t="s">
        <v>18</v>
      </c>
      <c r="C17" s="79" t="s">
        <v>19</v>
      </c>
      <c r="D17" s="658"/>
      <c r="E17" s="658"/>
      <c r="F17" s="658"/>
      <c r="G17" s="674"/>
      <c r="H17" s="62" t="s">
        <v>20</v>
      </c>
      <c r="I17" s="658"/>
      <c r="J17" s="675"/>
      <c r="K17" s="78" t="s">
        <v>21</v>
      </c>
      <c r="L17" s="78" t="s">
        <v>22</v>
      </c>
      <c r="M17" s="675"/>
      <c r="N17" s="658"/>
      <c r="O17" s="661"/>
    </row>
    <row r="18" spans="1:19" ht="78.75" x14ac:dyDescent="0.25">
      <c r="A18" s="163">
        <v>1</v>
      </c>
      <c r="B18" s="90" t="s">
        <v>62</v>
      </c>
      <c r="C18" s="591" t="s">
        <v>175</v>
      </c>
      <c r="D18" s="160" t="s">
        <v>23</v>
      </c>
      <c r="E18" s="391" t="s">
        <v>189</v>
      </c>
      <c r="F18" s="392" t="s">
        <v>167</v>
      </c>
      <c r="G18" s="147">
        <v>8</v>
      </c>
      <c r="H18" s="147"/>
      <c r="I18" s="147"/>
      <c r="J18" s="148">
        <v>500000</v>
      </c>
      <c r="K18" s="148">
        <v>2600</v>
      </c>
      <c r="L18" s="148">
        <v>6250</v>
      </c>
      <c r="M18" s="148"/>
      <c r="N18" s="148">
        <v>10400</v>
      </c>
      <c r="O18" s="148">
        <f>SUM(M18+N18)</f>
        <v>10400</v>
      </c>
      <c r="Q18" s="19"/>
      <c r="S18" s="19"/>
    </row>
    <row r="19" spans="1:19" ht="47.25" x14ac:dyDescent="0.25">
      <c r="A19" s="163"/>
      <c r="B19" s="90" t="s">
        <v>173</v>
      </c>
      <c r="C19" s="591" t="s">
        <v>176</v>
      </c>
      <c r="D19" s="160" t="s">
        <v>23</v>
      </c>
      <c r="E19" s="391">
        <v>45581</v>
      </c>
      <c r="F19" s="392" t="s">
        <v>168</v>
      </c>
      <c r="G19" s="147">
        <v>8</v>
      </c>
      <c r="H19" s="147"/>
      <c r="I19" s="147"/>
      <c r="J19" s="148"/>
      <c r="K19" s="148">
        <v>2600</v>
      </c>
      <c r="L19" s="148">
        <v>6250</v>
      </c>
      <c r="M19" s="148">
        <f>47193.3+16564.81</f>
        <v>63758.11</v>
      </c>
      <c r="N19" s="148">
        <v>11215.12</v>
      </c>
      <c r="O19" s="148">
        <f>SUM(M19+N19)</f>
        <v>74973.23</v>
      </c>
      <c r="Q19" s="19"/>
      <c r="S19" s="19"/>
    </row>
    <row r="20" spans="1:19" ht="28.5" x14ac:dyDescent="0.25">
      <c r="A20" s="163"/>
      <c r="B20" s="219"/>
      <c r="C20" s="591" t="s">
        <v>184</v>
      </c>
      <c r="D20" s="160" t="s">
        <v>23</v>
      </c>
      <c r="E20" s="391">
        <v>45586</v>
      </c>
      <c r="F20" s="392" t="s">
        <v>185</v>
      </c>
      <c r="G20" s="147"/>
      <c r="H20" s="147"/>
      <c r="I20" s="147"/>
      <c r="J20" s="148"/>
      <c r="K20" s="148"/>
      <c r="L20" s="148"/>
      <c r="M20" s="148">
        <v>36876.15</v>
      </c>
      <c r="N20" s="148"/>
      <c r="O20" s="148">
        <f>SUM(M20:N20)</f>
        <v>36876.15</v>
      </c>
      <c r="Q20" s="19"/>
      <c r="S20" s="19"/>
    </row>
    <row r="21" spans="1:19" ht="57" x14ac:dyDescent="0.25">
      <c r="A21" s="163">
        <v>1</v>
      </c>
      <c r="B21" s="90" t="s">
        <v>62</v>
      </c>
      <c r="C21" s="593" t="s">
        <v>177</v>
      </c>
      <c r="D21" s="160" t="s">
        <v>23</v>
      </c>
      <c r="E21" s="391" t="s">
        <v>190</v>
      </c>
      <c r="F21" s="392" t="s">
        <v>169</v>
      </c>
      <c r="G21" s="147">
        <v>16</v>
      </c>
      <c r="H21" s="147"/>
      <c r="I21" s="147"/>
      <c r="J21" s="148"/>
      <c r="K21" s="148">
        <v>3800</v>
      </c>
      <c r="L21" s="148">
        <v>22800</v>
      </c>
      <c r="M21" s="148"/>
      <c r="N21" s="148">
        <v>20800</v>
      </c>
      <c r="O21" s="148">
        <f>SUM(M21+N21)</f>
        <v>20800</v>
      </c>
    </row>
    <row r="22" spans="1:19" ht="42.75" x14ac:dyDescent="0.25">
      <c r="A22" s="163">
        <v>1</v>
      </c>
      <c r="B22" s="90" t="s">
        <v>174</v>
      </c>
      <c r="C22" s="393" t="s">
        <v>179</v>
      </c>
      <c r="D22" s="160" t="s">
        <v>23</v>
      </c>
      <c r="E22" s="151" t="s">
        <v>172</v>
      </c>
      <c r="F22" s="394" t="s">
        <v>170</v>
      </c>
      <c r="G22" s="147">
        <v>16</v>
      </c>
      <c r="H22" s="147"/>
      <c r="I22" s="147"/>
      <c r="J22" s="395"/>
      <c r="K22" s="148">
        <v>3300</v>
      </c>
      <c r="L22" s="148">
        <v>8925</v>
      </c>
      <c r="M22" s="148"/>
      <c r="N22" s="148">
        <v>22400</v>
      </c>
      <c r="O22" s="148">
        <f>SUM(M22+N22)</f>
        <v>22400</v>
      </c>
    </row>
    <row r="23" spans="1:19" ht="94.5" x14ac:dyDescent="0.25">
      <c r="A23" s="163">
        <v>1</v>
      </c>
      <c r="B23" s="90" t="s">
        <v>62</v>
      </c>
      <c r="C23" s="592" t="s">
        <v>178</v>
      </c>
      <c r="D23" s="160" t="s">
        <v>23</v>
      </c>
      <c r="E23" s="151" t="s">
        <v>162</v>
      </c>
      <c r="F23" s="392" t="s">
        <v>171</v>
      </c>
      <c r="G23" s="147">
        <v>16</v>
      </c>
      <c r="H23" s="147">
        <v>42</v>
      </c>
      <c r="I23" s="147">
        <v>1</v>
      </c>
      <c r="J23" s="148">
        <v>535000</v>
      </c>
      <c r="K23" s="148">
        <v>3800</v>
      </c>
      <c r="L23" s="148">
        <v>15400</v>
      </c>
      <c r="M23" s="148">
        <f>33800.45+148934.7+42976.82+27394.17+12018</f>
        <v>265124.14</v>
      </c>
      <c r="N23" s="148">
        <v>10400</v>
      </c>
      <c r="O23" s="148">
        <f>SUM(M23+N23)</f>
        <v>275524.14</v>
      </c>
    </row>
    <row r="24" spans="1:19" ht="15.75" customHeight="1" thickBot="1" x14ac:dyDescent="0.3">
      <c r="A24" s="99">
        <f>SUM(A18:A23)</f>
        <v>4</v>
      </c>
      <c r="B24" s="662" t="s">
        <v>24</v>
      </c>
      <c r="C24" s="662"/>
      <c r="D24" s="662"/>
      <c r="E24" s="662"/>
      <c r="F24" s="662"/>
      <c r="G24" s="100">
        <f>SUM(G18:G23)</f>
        <v>64</v>
      </c>
      <c r="H24" s="100">
        <f>SUM(H18:H23)</f>
        <v>42</v>
      </c>
      <c r="I24" s="100">
        <f>SUM(I21:I23)</f>
        <v>1</v>
      </c>
      <c r="J24" s="100">
        <f>SUM(J21:J23)</f>
        <v>535000</v>
      </c>
      <c r="K24" s="100">
        <f>SUM(K18:K23)</f>
        <v>16100</v>
      </c>
      <c r="L24" s="100">
        <f>SUM(L18:L23)</f>
        <v>59625</v>
      </c>
      <c r="M24" s="100">
        <f>SUM(M18:M23)</f>
        <v>365758.4</v>
      </c>
      <c r="N24" s="100">
        <f>SUM(N18:N23)</f>
        <v>75215.12</v>
      </c>
      <c r="O24" s="100">
        <f>SUM(O18:O23)</f>
        <v>440973.52</v>
      </c>
      <c r="P24" s="7"/>
    </row>
    <row r="25" spans="1:19" ht="15.75" customHeight="1" thickBot="1" x14ac:dyDescent="0.3">
      <c r="A25" s="663" t="s">
        <v>25</v>
      </c>
      <c r="B25" s="664"/>
      <c r="C25" s="664"/>
      <c r="D25" s="664"/>
      <c r="E25" s="664"/>
      <c r="F25" s="664"/>
      <c r="G25" s="664"/>
      <c r="H25" s="8"/>
      <c r="I25" s="8"/>
      <c r="J25" s="9"/>
      <c r="K25" s="9"/>
      <c r="L25" s="9"/>
      <c r="M25" s="10">
        <v>0</v>
      </c>
      <c r="N25" s="10">
        <f>N24*-0.1</f>
        <v>-7521.5119999999997</v>
      </c>
      <c r="O25" s="11">
        <f>N25</f>
        <v>-7521.5119999999997</v>
      </c>
    </row>
    <row r="26" spans="1:19" ht="15.75" customHeight="1" thickBot="1" x14ac:dyDescent="0.3">
      <c r="A26" s="665" t="s">
        <v>26</v>
      </c>
      <c r="B26" s="665"/>
      <c r="C26" s="665"/>
      <c r="D26" s="665"/>
      <c r="E26" s="665"/>
      <c r="F26" s="665"/>
      <c r="G26" s="665"/>
      <c r="H26" s="12"/>
      <c r="I26" s="12"/>
      <c r="J26" s="13"/>
      <c r="K26" s="13"/>
      <c r="L26" s="13"/>
      <c r="M26" s="10">
        <f>+M24+M25</f>
        <v>365758.4</v>
      </c>
      <c r="N26" s="10">
        <f>+N24+N25</f>
        <v>67693.607999999993</v>
      </c>
      <c r="O26" s="11">
        <f>+O24+O25</f>
        <v>433452.00800000003</v>
      </c>
    </row>
    <row r="27" spans="1:19" x14ac:dyDescent="0.25">
      <c r="A27" s="14"/>
      <c r="B27" s="14"/>
      <c r="C27" s="14"/>
      <c r="D27" s="14"/>
      <c r="E27" s="14"/>
      <c r="F27" s="14"/>
      <c r="G27" s="14"/>
      <c r="H27" s="15"/>
      <c r="I27" s="15"/>
      <c r="J27" s="16"/>
      <c r="K27" s="16"/>
      <c r="L27" s="16"/>
      <c r="M27" s="16"/>
      <c r="N27" s="16"/>
      <c r="O27" s="17"/>
    </row>
    <row r="28" spans="1:19" ht="16.5" customHeight="1" thickBot="1" x14ac:dyDescent="0.3">
      <c r="A28" s="679" t="s">
        <v>27</v>
      </c>
      <c r="B28" s="679"/>
      <c r="C28" s="679"/>
      <c r="D28" s="679"/>
      <c r="E28" s="679"/>
      <c r="F28" s="679"/>
      <c r="G28" s="679"/>
      <c r="H28" s="679"/>
      <c r="I28" s="679"/>
      <c r="J28" s="679"/>
      <c r="K28" s="679"/>
      <c r="L28" s="679"/>
      <c r="M28" s="679"/>
      <c r="N28" s="18"/>
      <c r="O28" s="18"/>
    </row>
    <row r="29" spans="1:19" ht="23.25" customHeight="1" thickBot="1" x14ac:dyDescent="0.3">
      <c r="A29" s="667" t="s">
        <v>6</v>
      </c>
      <c r="B29" s="670" t="s">
        <v>7</v>
      </c>
      <c r="C29" s="671"/>
      <c r="D29" s="657" t="s">
        <v>8</v>
      </c>
      <c r="E29" s="657" t="s">
        <v>9</v>
      </c>
      <c r="F29" s="657" t="s">
        <v>10</v>
      </c>
      <c r="G29" s="657" t="s">
        <v>28</v>
      </c>
      <c r="H29" s="670" t="s">
        <v>12</v>
      </c>
      <c r="I29" s="671"/>
      <c r="J29" s="657" t="s">
        <v>59</v>
      </c>
      <c r="K29" s="77"/>
      <c r="L29" s="77"/>
      <c r="M29" s="657" t="s">
        <v>13</v>
      </c>
      <c r="N29" s="657" t="s">
        <v>14</v>
      </c>
      <c r="O29" s="659" t="s">
        <v>15</v>
      </c>
    </row>
    <row r="30" spans="1:19" ht="0.75" customHeight="1" thickBot="1" x14ac:dyDescent="0.3">
      <c r="A30" s="668"/>
      <c r="B30" s="672"/>
      <c r="C30" s="673"/>
      <c r="D30" s="658"/>
      <c r="E30" s="658"/>
      <c r="F30" s="658"/>
      <c r="G30" s="674"/>
      <c r="H30" s="657" t="s">
        <v>20</v>
      </c>
      <c r="I30" s="657" t="s">
        <v>17</v>
      </c>
      <c r="J30" s="675"/>
      <c r="K30" s="80"/>
      <c r="L30" s="80"/>
      <c r="M30" s="675"/>
      <c r="N30" s="658"/>
      <c r="O30" s="660"/>
    </row>
    <row r="31" spans="1:19" ht="40.5" customHeight="1" x14ac:dyDescent="0.25">
      <c r="A31" s="669"/>
      <c r="B31" s="64" t="s">
        <v>18</v>
      </c>
      <c r="C31" s="79" t="s">
        <v>19</v>
      </c>
      <c r="D31" s="658"/>
      <c r="E31" s="658"/>
      <c r="F31" s="658"/>
      <c r="G31" s="674"/>
      <c r="H31" s="658"/>
      <c r="I31" s="658"/>
      <c r="J31" s="675"/>
      <c r="K31" s="78" t="s">
        <v>21</v>
      </c>
      <c r="L31" s="78" t="s">
        <v>22</v>
      </c>
      <c r="M31" s="680"/>
      <c r="N31" s="658"/>
      <c r="O31" s="661"/>
    </row>
    <row r="32" spans="1:19" ht="61.5" hidden="1" customHeight="1" x14ac:dyDescent="0.25">
      <c r="A32" s="164"/>
      <c r="B32" s="184"/>
      <c r="C32" s="185"/>
      <c r="D32" s="90" t="s">
        <v>29</v>
      </c>
      <c r="E32" s="186">
        <v>45478</v>
      </c>
      <c r="F32" s="90"/>
      <c r="G32" s="89"/>
      <c r="H32" s="187"/>
      <c r="I32" s="187"/>
      <c r="J32" s="89"/>
      <c r="K32" s="148"/>
      <c r="L32" s="188"/>
      <c r="M32" s="161"/>
      <c r="N32" s="187"/>
      <c r="O32" s="89">
        <f>SUM(M32+N32)</f>
        <v>0</v>
      </c>
    </row>
    <row r="33" spans="1:18" ht="88.5" hidden="1" customHeight="1" x14ac:dyDescent="0.25">
      <c r="A33" s="164"/>
      <c r="B33" s="189" t="s">
        <v>85</v>
      </c>
      <c r="C33" s="185"/>
      <c r="D33" s="90" t="s">
        <v>29</v>
      </c>
      <c r="E33" s="186"/>
      <c r="F33" s="90"/>
      <c r="G33" s="89"/>
      <c r="H33" s="187"/>
      <c r="I33" s="187"/>
      <c r="J33" s="89"/>
      <c r="K33" s="148"/>
      <c r="L33" s="188"/>
      <c r="M33" s="89"/>
      <c r="N33" s="89"/>
      <c r="O33" s="89">
        <f t="shared" ref="O33:O36" si="0">SUM(M33+N33)</f>
        <v>0</v>
      </c>
    </row>
    <row r="34" spans="1:18" ht="126" hidden="1" customHeight="1" x14ac:dyDescent="0.25">
      <c r="A34" s="167"/>
      <c r="B34" s="90" t="s">
        <v>85</v>
      </c>
      <c r="C34" s="185"/>
      <c r="D34" s="90" t="s">
        <v>29</v>
      </c>
      <c r="E34" s="186"/>
      <c r="F34" s="90"/>
      <c r="G34" s="90"/>
      <c r="H34" s="90"/>
      <c r="I34" s="90"/>
      <c r="J34" s="90"/>
      <c r="K34" s="148"/>
      <c r="L34" s="188"/>
      <c r="M34" s="153"/>
      <c r="N34" s="89"/>
      <c r="O34" s="89">
        <f t="shared" si="0"/>
        <v>0</v>
      </c>
    </row>
    <row r="35" spans="1:18" ht="72" hidden="1" customHeight="1" x14ac:dyDescent="0.25">
      <c r="A35" s="167"/>
      <c r="B35" s="90"/>
      <c r="C35" s="185"/>
      <c r="D35" s="90" t="s">
        <v>29</v>
      </c>
      <c r="E35" s="186"/>
      <c r="F35" s="90"/>
      <c r="G35" s="90"/>
      <c r="H35" s="90"/>
      <c r="I35" s="90"/>
      <c r="J35" s="90"/>
      <c r="K35" s="148"/>
      <c r="L35" s="149"/>
      <c r="M35" s="148"/>
      <c r="N35" s="148"/>
      <c r="O35" s="89">
        <f t="shared" si="0"/>
        <v>0</v>
      </c>
    </row>
    <row r="36" spans="1:18" ht="74.25" hidden="1" customHeight="1" x14ac:dyDescent="0.25">
      <c r="A36" s="164"/>
      <c r="B36" s="189" t="s">
        <v>85</v>
      </c>
      <c r="C36" s="190"/>
      <c r="D36" s="189" t="s">
        <v>29</v>
      </c>
      <c r="E36" s="191"/>
      <c r="F36" s="150"/>
      <c r="G36" s="388"/>
      <c r="H36" s="154"/>
      <c r="I36" s="154"/>
      <c r="J36" s="155">
        <v>1070000</v>
      </c>
      <c r="K36" s="148"/>
      <c r="L36" s="149"/>
      <c r="M36" s="148"/>
      <c r="N36" s="148"/>
      <c r="O36" s="89">
        <f t="shared" si="0"/>
        <v>0</v>
      </c>
      <c r="P36" s="173"/>
    </row>
    <row r="37" spans="1:18" ht="57.75" x14ac:dyDescent="0.25">
      <c r="A37" s="166">
        <v>1</v>
      </c>
      <c r="B37" s="90"/>
      <c r="C37" s="590" t="s">
        <v>193</v>
      </c>
      <c r="D37" s="150" t="s">
        <v>29</v>
      </c>
      <c r="E37" s="396" t="s">
        <v>187</v>
      </c>
      <c r="F37" s="89" t="s">
        <v>156</v>
      </c>
      <c r="G37" s="89">
        <v>16</v>
      </c>
      <c r="H37" s="147"/>
      <c r="I37" s="147"/>
      <c r="J37" s="148"/>
      <c r="K37" s="148">
        <v>5100</v>
      </c>
      <c r="L37" s="148">
        <f>8500+6900</f>
        <v>15400</v>
      </c>
      <c r="M37" s="148">
        <v>0</v>
      </c>
      <c r="N37" s="148">
        <v>0</v>
      </c>
      <c r="O37" s="165">
        <f t="shared" ref="O37:O42" si="1">SUM(M37+N37)</f>
        <v>0</v>
      </c>
    </row>
    <row r="38" spans="1:18" ht="75" x14ac:dyDescent="0.25">
      <c r="A38" s="166">
        <v>1</v>
      </c>
      <c r="B38" s="90"/>
      <c r="C38" s="586" t="s">
        <v>194</v>
      </c>
      <c r="D38" s="150" t="s">
        <v>29</v>
      </c>
      <c r="E38" s="396" t="s">
        <v>188</v>
      </c>
      <c r="F38" s="89" t="s">
        <v>158</v>
      </c>
      <c r="G38" s="89">
        <v>16</v>
      </c>
      <c r="H38" s="154"/>
      <c r="I38" s="154"/>
      <c r="J38" s="397"/>
      <c r="K38" s="148">
        <f>4500*0.3</f>
        <v>1350</v>
      </c>
      <c r="L38" s="148">
        <f>(14250+11650)*0.3</f>
        <v>7770</v>
      </c>
      <c r="M38" s="148">
        <f>13145.22+6883.11</f>
        <v>20028.329999999998</v>
      </c>
      <c r="N38" s="148">
        <v>0</v>
      </c>
      <c r="O38" s="165">
        <f t="shared" si="1"/>
        <v>20028.329999999998</v>
      </c>
      <c r="R38" s="170"/>
    </row>
    <row r="39" spans="1:18" ht="90.75" customHeight="1" x14ac:dyDescent="0.25">
      <c r="A39" s="166"/>
      <c r="B39" s="90"/>
      <c r="C39" s="586" t="s">
        <v>273</v>
      </c>
      <c r="D39" s="150" t="s">
        <v>29</v>
      </c>
      <c r="E39" s="396">
        <v>45575</v>
      </c>
      <c r="F39" s="89" t="s">
        <v>159</v>
      </c>
      <c r="G39" s="89">
        <v>8</v>
      </c>
      <c r="H39" s="154"/>
      <c r="I39" s="154"/>
      <c r="J39" s="397"/>
      <c r="K39" s="148">
        <f>4500*0.3</f>
        <v>1350</v>
      </c>
      <c r="L39" s="148">
        <f>(14250+11650)*0.3</f>
        <v>7770</v>
      </c>
      <c r="M39" s="148">
        <v>23009.46</v>
      </c>
      <c r="N39" s="148">
        <v>0</v>
      </c>
      <c r="O39" s="165">
        <f t="shared" si="1"/>
        <v>23009.46</v>
      </c>
      <c r="P39" s="170"/>
      <c r="Q39" s="171"/>
    </row>
    <row r="40" spans="1:18" ht="74.25" customHeight="1" x14ac:dyDescent="0.25">
      <c r="A40" s="166"/>
      <c r="B40" s="90"/>
      <c r="C40" s="586" t="s">
        <v>274</v>
      </c>
      <c r="D40" s="150" t="s">
        <v>29</v>
      </c>
      <c r="E40" s="396">
        <v>45576</v>
      </c>
      <c r="F40" s="90" t="s">
        <v>157</v>
      </c>
      <c r="G40" s="147">
        <v>8</v>
      </c>
      <c r="H40" s="154"/>
      <c r="I40" s="154"/>
      <c r="J40" s="397"/>
      <c r="K40" s="148">
        <f>4500*0.4</f>
        <v>1800</v>
      </c>
      <c r="L40" s="148">
        <f>(14250+11650)*0.4</f>
        <v>10360</v>
      </c>
      <c r="M40" s="148">
        <v>8610.0499999999993</v>
      </c>
      <c r="N40" s="148">
        <v>0</v>
      </c>
      <c r="O40" s="165">
        <f t="shared" si="1"/>
        <v>8610.0499999999993</v>
      </c>
      <c r="P40" s="170"/>
      <c r="Q40" s="171"/>
    </row>
    <row r="41" spans="1:18" ht="70.5" customHeight="1" x14ac:dyDescent="0.25">
      <c r="A41" s="83">
        <v>1</v>
      </c>
      <c r="B41" s="90" t="s">
        <v>85</v>
      </c>
      <c r="C41" s="588" t="s">
        <v>275</v>
      </c>
      <c r="D41" s="150" t="s">
        <v>29</v>
      </c>
      <c r="E41" s="396" t="s">
        <v>161</v>
      </c>
      <c r="F41" s="90" t="s">
        <v>159</v>
      </c>
      <c r="G41" s="147">
        <v>8</v>
      </c>
      <c r="H41" s="154"/>
      <c r="I41" s="154"/>
      <c r="J41" s="397"/>
      <c r="K41" s="148">
        <v>4200</v>
      </c>
      <c r="L41" s="148">
        <f>8500+6900</f>
        <v>15400</v>
      </c>
      <c r="M41" s="148">
        <v>20430</v>
      </c>
      <c r="N41" s="148">
        <v>10414.040000000001</v>
      </c>
      <c r="O41" s="165">
        <f t="shared" si="1"/>
        <v>30844.04</v>
      </c>
      <c r="P41" s="170"/>
      <c r="Q41" s="171"/>
    </row>
    <row r="42" spans="1:18" ht="65.25" customHeight="1" x14ac:dyDescent="0.25">
      <c r="A42" s="83">
        <v>1</v>
      </c>
      <c r="B42" s="90" t="s">
        <v>191</v>
      </c>
      <c r="C42" s="586" t="s">
        <v>276</v>
      </c>
      <c r="D42" s="150" t="s">
        <v>29</v>
      </c>
      <c r="E42" s="396" t="s">
        <v>155</v>
      </c>
      <c r="F42" s="90" t="s">
        <v>156</v>
      </c>
      <c r="G42" s="147">
        <v>16</v>
      </c>
      <c r="H42" s="154"/>
      <c r="I42" s="154"/>
      <c r="J42" s="155">
        <v>650000</v>
      </c>
      <c r="K42" s="148">
        <v>5100</v>
      </c>
      <c r="L42" s="148">
        <f>8500+6900</f>
        <v>15400</v>
      </c>
      <c r="M42" s="148">
        <v>32000</v>
      </c>
      <c r="N42" s="148">
        <v>22400</v>
      </c>
      <c r="O42" s="165">
        <f t="shared" si="1"/>
        <v>54400</v>
      </c>
      <c r="P42" s="172"/>
      <c r="Q42" s="19"/>
      <c r="R42" s="19"/>
    </row>
    <row r="43" spans="1:18" ht="78" hidden="1" customHeight="1" x14ac:dyDescent="0.25">
      <c r="A43" s="83"/>
      <c r="B43" s="90" t="s">
        <v>106</v>
      </c>
      <c r="C43" s="133" t="s">
        <v>107</v>
      </c>
      <c r="D43" s="150" t="s">
        <v>29</v>
      </c>
      <c r="E43" s="151">
        <v>45400</v>
      </c>
      <c r="F43" s="90" t="s">
        <v>104</v>
      </c>
      <c r="G43" s="147"/>
      <c r="H43" s="147"/>
      <c r="I43" s="147"/>
      <c r="J43" s="148">
        <v>600000</v>
      </c>
      <c r="K43" s="148"/>
      <c r="L43" s="152"/>
      <c r="M43" s="148"/>
      <c r="N43" s="148"/>
      <c r="O43" s="165">
        <f>SUM(M43:N43)</f>
        <v>0</v>
      </c>
      <c r="P43" s="19"/>
    </row>
    <row r="44" spans="1:18" x14ac:dyDescent="0.25">
      <c r="A44" s="83">
        <f>SUM(A32:A43)</f>
        <v>4</v>
      </c>
      <c r="B44" s="676" t="s">
        <v>24</v>
      </c>
      <c r="C44" s="676"/>
      <c r="D44" s="676"/>
      <c r="E44" s="676"/>
      <c r="F44" s="676"/>
      <c r="G44" s="81">
        <f>SUM(G32:G43)</f>
        <v>72</v>
      </c>
      <c r="H44" s="81">
        <f>SUM(H32:H43)</f>
        <v>0</v>
      </c>
      <c r="I44" s="81">
        <f>SUM(I32:I43)</f>
        <v>0</v>
      </c>
      <c r="J44" s="54">
        <f>SUM(J36:J43)</f>
        <v>2320000</v>
      </c>
      <c r="K44" s="54">
        <f>SUM(K32:K42)</f>
        <v>18900</v>
      </c>
      <c r="L44" s="54">
        <f>SUM(L32:L43)</f>
        <v>72100</v>
      </c>
      <c r="M44" s="54">
        <f>SUM(M32:M43)</f>
        <v>104077.84</v>
      </c>
      <c r="N44" s="54">
        <f>SUM(N32:N43)</f>
        <v>32814.04</v>
      </c>
      <c r="O44" s="84">
        <f>SUM(O32:O43)</f>
        <v>136891.88</v>
      </c>
    </row>
    <row r="45" spans="1:18" x14ac:dyDescent="0.25">
      <c r="A45" s="677" t="s">
        <v>25</v>
      </c>
      <c r="B45" s="678"/>
      <c r="C45" s="678"/>
      <c r="D45" s="678"/>
      <c r="E45" s="678"/>
      <c r="F45" s="678"/>
      <c r="G45" s="678"/>
      <c r="H45" s="57"/>
      <c r="I45" s="57"/>
      <c r="J45" s="58"/>
      <c r="K45" s="59"/>
      <c r="L45" s="59"/>
      <c r="M45" s="59">
        <v>0</v>
      </c>
      <c r="N45" s="59">
        <f>0.1*-N44</f>
        <v>-3281.4040000000005</v>
      </c>
      <c r="O45" s="85">
        <f>SUM(N45:N45)</f>
        <v>-3281.4040000000005</v>
      </c>
    </row>
    <row r="46" spans="1:18" ht="15.75" thickBot="1" x14ac:dyDescent="0.3">
      <c r="A46" s="681" t="s">
        <v>31</v>
      </c>
      <c r="B46" s="682"/>
      <c r="C46" s="682"/>
      <c r="D46" s="682"/>
      <c r="E46" s="682"/>
      <c r="F46" s="682"/>
      <c r="G46" s="683"/>
      <c r="H46" s="55"/>
      <c r="I46" s="55"/>
      <c r="J46" s="52"/>
      <c r="K46" s="53"/>
      <c r="L46" s="53"/>
      <c r="M46" s="53">
        <f>SUM(M44:M45)</f>
        <v>104077.84</v>
      </c>
      <c r="N46" s="56">
        <f>+N44+N45</f>
        <v>29532.635999999999</v>
      </c>
      <c r="O46" s="56">
        <f>+O44+O45</f>
        <v>133610.476</v>
      </c>
      <c r="Q46" s="7"/>
    </row>
    <row r="47" spans="1:18" x14ac:dyDescent="0.25">
      <c r="A47" s="14"/>
      <c r="B47" s="14"/>
      <c r="C47" s="14"/>
      <c r="D47" s="14"/>
      <c r="E47" s="14"/>
      <c r="F47" s="14"/>
      <c r="G47" s="14"/>
      <c r="H47" s="15"/>
      <c r="I47" s="15"/>
      <c r="J47" s="16"/>
      <c r="K47" s="16"/>
      <c r="L47" s="16"/>
      <c r="M47" s="16"/>
      <c r="N47" s="16"/>
      <c r="O47" s="17"/>
    </row>
    <row r="48" spans="1:18" ht="15.75" customHeight="1" thickBot="1" x14ac:dyDescent="0.3">
      <c r="A48" s="679" t="s">
        <v>32</v>
      </c>
      <c r="B48" s="679"/>
      <c r="C48" s="679"/>
      <c r="D48" s="679"/>
      <c r="E48" s="679"/>
      <c r="F48" s="679"/>
      <c r="G48" s="679"/>
      <c r="H48" s="679"/>
      <c r="I48" s="679"/>
      <c r="J48" s="679"/>
      <c r="K48" s="679"/>
      <c r="L48" s="679"/>
      <c r="M48" s="679"/>
      <c r="N48" s="20"/>
      <c r="O48" s="20"/>
    </row>
    <row r="49" spans="1:19" ht="23.25" customHeight="1" thickBot="1" x14ac:dyDescent="0.3">
      <c r="A49" s="667" t="s">
        <v>6</v>
      </c>
      <c r="B49" s="670" t="s">
        <v>7</v>
      </c>
      <c r="C49" s="671"/>
      <c r="D49" s="657" t="s">
        <v>8</v>
      </c>
      <c r="E49" s="657" t="s">
        <v>9</v>
      </c>
      <c r="F49" s="657" t="s">
        <v>10</v>
      </c>
      <c r="G49" s="657" t="s">
        <v>28</v>
      </c>
      <c r="H49" s="670" t="s">
        <v>12</v>
      </c>
      <c r="I49" s="671"/>
      <c r="J49" s="657" t="s">
        <v>59</v>
      </c>
      <c r="K49" s="77"/>
      <c r="L49" s="77"/>
      <c r="M49" s="657" t="s">
        <v>13</v>
      </c>
      <c r="N49" s="657" t="s">
        <v>14</v>
      </c>
      <c r="O49" s="659" t="s">
        <v>15</v>
      </c>
    </row>
    <row r="50" spans="1:19" ht="2.25" customHeight="1" thickBot="1" x14ac:dyDescent="0.3">
      <c r="A50" s="668"/>
      <c r="B50" s="672"/>
      <c r="C50" s="673"/>
      <c r="D50" s="674"/>
      <c r="E50" s="674"/>
      <c r="F50" s="674"/>
      <c r="G50" s="674"/>
      <c r="H50" s="657" t="s">
        <v>20</v>
      </c>
      <c r="I50" s="657" t="s">
        <v>17</v>
      </c>
      <c r="J50" s="675"/>
      <c r="K50" s="80"/>
      <c r="L50" s="80"/>
      <c r="M50" s="675"/>
      <c r="N50" s="658"/>
      <c r="O50" s="660"/>
    </row>
    <row r="51" spans="1:19" ht="28.5" customHeight="1" x14ac:dyDescent="0.25">
      <c r="A51" s="669"/>
      <c r="B51" s="77" t="s">
        <v>18</v>
      </c>
      <c r="C51" s="79" t="s">
        <v>19</v>
      </c>
      <c r="D51" s="674"/>
      <c r="E51" s="674"/>
      <c r="F51" s="674"/>
      <c r="G51" s="674"/>
      <c r="H51" s="658"/>
      <c r="I51" s="658"/>
      <c r="J51" s="675"/>
      <c r="K51" s="78" t="s">
        <v>21</v>
      </c>
      <c r="L51" s="78" t="s">
        <v>22</v>
      </c>
      <c r="M51" s="675"/>
      <c r="N51" s="658"/>
      <c r="O51" s="661"/>
    </row>
    <row r="52" spans="1:19" ht="83.25" customHeight="1" x14ac:dyDescent="0.25">
      <c r="A52" s="102">
        <v>1</v>
      </c>
      <c r="B52" s="89" t="s">
        <v>163</v>
      </c>
      <c r="C52" s="156" t="s">
        <v>195</v>
      </c>
      <c r="D52" s="90" t="s">
        <v>33</v>
      </c>
      <c r="E52" s="396">
        <v>45569</v>
      </c>
      <c r="F52" s="160" t="s">
        <v>165</v>
      </c>
      <c r="G52" s="147">
        <v>8</v>
      </c>
      <c r="H52" s="147"/>
      <c r="I52" s="147"/>
      <c r="J52" s="148">
        <v>370000</v>
      </c>
      <c r="K52" s="399">
        <v>2900</v>
      </c>
      <c r="L52" s="399">
        <v>2750</v>
      </c>
      <c r="M52" s="399">
        <v>0</v>
      </c>
      <c r="N52" s="400">
        <f>9612.96+9612.96</f>
        <v>19225.919999999998</v>
      </c>
      <c r="O52" s="152">
        <f>SUM(M52:N52)</f>
        <v>19225.919999999998</v>
      </c>
      <c r="P52" s="698"/>
      <c r="Q52" s="698"/>
      <c r="R52" s="698"/>
      <c r="S52" s="698"/>
    </row>
    <row r="53" spans="1:19" ht="45" customHeight="1" x14ac:dyDescent="0.25">
      <c r="A53" s="102">
        <v>1</v>
      </c>
      <c r="B53" s="89" t="s">
        <v>164</v>
      </c>
      <c r="C53" s="156" t="s">
        <v>181</v>
      </c>
      <c r="D53" s="90" t="s">
        <v>33</v>
      </c>
      <c r="E53" s="396" t="s">
        <v>161</v>
      </c>
      <c r="F53" s="90" t="s">
        <v>166</v>
      </c>
      <c r="G53" s="147">
        <v>16</v>
      </c>
      <c r="H53" s="147">
        <v>0</v>
      </c>
      <c r="I53" s="147">
        <v>0</v>
      </c>
      <c r="J53" s="148"/>
      <c r="K53" s="399">
        <v>4600</v>
      </c>
      <c r="L53" s="399">
        <v>6750</v>
      </c>
      <c r="M53" s="399">
        <v>0</v>
      </c>
      <c r="N53" s="400">
        <v>21600</v>
      </c>
      <c r="O53" s="152">
        <f>SUM(M53:N53)</f>
        <v>21600</v>
      </c>
      <c r="P53" s="139"/>
    </row>
    <row r="54" spans="1:19" ht="80.25" customHeight="1" x14ac:dyDescent="0.25">
      <c r="A54" s="102">
        <v>1</v>
      </c>
      <c r="B54" s="89" t="s">
        <v>163</v>
      </c>
      <c r="C54" s="401" t="s">
        <v>180</v>
      </c>
      <c r="D54" s="90" t="s">
        <v>33</v>
      </c>
      <c r="E54" s="396">
        <v>45589</v>
      </c>
      <c r="F54" s="160" t="s">
        <v>165</v>
      </c>
      <c r="G54" s="147">
        <v>8</v>
      </c>
      <c r="H54" s="147">
        <v>0</v>
      </c>
      <c r="I54" s="147"/>
      <c r="J54" s="148"/>
      <c r="K54" s="400">
        <v>2900</v>
      </c>
      <c r="L54" s="400">
        <v>2750</v>
      </c>
      <c r="M54" s="400">
        <v>0</v>
      </c>
      <c r="N54" s="402">
        <f>9612.96+9612.96</f>
        <v>19225.919999999998</v>
      </c>
      <c r="O54" s="152">
        <f>SUM(M54:N54)</f>
        <v>19225.919999999998</v>
      </c>
      <c r="P54" s="139"/>
      <c r="Q54" s="389"/>
    </row>
    <row r="55" spans="1:19" ht="57" customHeight="1" x14ac:dyDescent="0.25">
      <c r="A55" s="102">
        <v>1</v>
      </c>
      <c r="B55" s="89" t="s">
        <v>164</v>
      </c>
      <c r="C55" s="156" t="s">
        <v>182</v>
      </c>
      <c r="D55" s="90" t="s">
        <v>33</v>
      </c>
      <c r="E55" s="396" t="s">
        <v>162</v>
      </c>
      <c r="F55" s="90" t="s">
        <v>166</v>
      </c>
      <c r="G55" s="147">
        <v>16</v>
      </c>
      <c r="H55" s="147"/>
      <c r="I55" s="147"/>
      <c r="J55" s="148"/>
      <c r="K55" s="400">
        <v>4600</v>
      </c>
      <c r="L55" s="400">
        <v>8500</v>
      </c>
      <c r="M55" s="400">
        <f>62078.39+74111+53417.68+617.91+39158.65+12138.18</f>
        <v>241521.81</v>
      </c>
      <c r="N55" s="400">
        <v>21600</v>
      </c>
      <c r="O55" s="152">
        <f>SUM(M55:N55)</f>
        <v>263121.81</v>
      </c>
      <c r="P55" s="139"/>
      <c r="Q55" s="389"/>
    </row>
    <row r="56" spans="1:19" ht="16.5" customHeight="1" x14ac:dyDescent="0.25">
      <c r="A56" s="83">
        <f>SUM(A52:A55)</f>
        <v>4</v>
      </c>
      <c r="B56" s="694"/>
      <c r="C56" s="695"/>
      <c r="D56" s="695"/>
      <c r="E56" s="695"/>
      <c r="F56" s="696"/>
      <c r="G56" s="91">
        <f>SUM(G52:G55)</f>
        <v>48</v>
      </c>
      <c r="H56" s="92">
        <f t="shared" ref="H56:J56" si="2">SUM(H52:H54)</f>
        <v>0</v>
      </c>
      <c r="I56" s="92">
        <f t="shared" si="2"/>
        <v>0</v>
      </c>
      <c r="J56" s="168">
        <f t="shared" si="2"/>
        <v>370000</v>
      </c>
      <c r="K56" s="168">
        <f>SUM(K52:K55)</f>
        <v>15000</v>
      </c>
      <c r="L56" s="168">
        <f>SUM(L52:L55)</f>
        <v>20750</v>
      </c>
      <c r="M56" s="168">
        <f>SUM(M52:M55)</f>
        <v>241521.81</v>
      </c>
      <c r="N56" s="168">
        <f>SUM(N52:N55)</f>
        <v>81651.839999999997</v>
      </c>
      <c r="O56" s="169">
        <f>SUM(O52:O55)</f>
        <v>323173.65000000002</v>
      </c>
    </row>
    <row r="57" spans="1:19" ht="13.5" customHeight="1" x14ac:dyDescent="0.25">
      <c r="A57" s="677" t="s">
        <v>25</v>
      </c>
      <c r="B57" s="678"/>
      <c r="C57" s="678"/>
      <c r="D57" s="678"/>
      <c r="E57" s="678"/>
      <c r="F57" s="678"/>
      <c r="G57" s="678"/>
      <c r="H57" s="93"/>
      <c r="I57" s="93"/>
      <c r="J57" s="94"/>
      <c r="K57" s="95"/>
      <c r="L57" s="95"/>
      <c r="M57" s="59">
        <v>0</v>
      </c>
      <c r="N57" s="59">
        <f>-0.1*N56</f>
        <v>-8165.1840000000002</v>
      </c>
      <c r="O57" s="85">
        <f>SUM(N57:N57)</f>
        <v>-8165.1840000000002</v>
      </c>
    </row>
    <row r="58" spans="1:19" ht="25.5" customHeight="1" thickBot="1" x14ac:dyDescent="0.3">
      <c r="A58" s="681" t="s">
        <v>31</v>
      </c>
      <c r="B58" s="682"/>
      <c r="C58" s="682"/>
      <c r="D58" s="682"/>
      <c r="E58" s="682"/>
      <c r="F58" s="682"/>
      <c r="G58" s="683"/>
      <c r="H58" s="86"/>
      <c r="I58" s="86"/>
      <c r="J58" s="87"/>
      <c r="K58" s="88"/>
      <c r="L58" s="88"/>
      <c r="M58" s="53">
        <f>SUM(M56:M57)</f>
        <v>241521.81</v>
      </c>
      <c r="N58" s="56">
        <f>+N56+N57</f>
        <v>73486.656000000003</v>
      </c>
      <c r="O58" s="56">
        <f>+O56+O57</f>
        <v>315008.46600000001</v>
      </c>
    </row>
    <row r="59" spans="1:19" ht="14.25" customHeight="1" x14ac:dyDescent="0.25">
      <c r="A59" s="21"/>
      <c r="B59" s="21"/>
      <c r="C59" s="21"/>
      <c r="D59" s="21"/>
      <c r="E59" s="21"/>
      <c r="F59" s="21"/>
      <c r="G59" s="21"/>
      <c r="H59" s="15"/>
      <c r="I59" s="15"/>
      <c r="J59" s="16"/>
      <c r="K59" s="16"/>
      <c r="L59" s="16"/>
      <c r="M59" s="22"/>
      <c r="N59" s="22"/>
      <c r="O59" s="22"/>
    </row>
    <row r="60" spans="1:19" x14ac:dyDescent="0.25">
      <c r="A60" s="21"/>
      <c r="B60" s="21"/>
      <c r="C60" s="21"/>
      <c r="D60" s="21"/>
      <c r="E60" s="21"/>
      <c r="F60" s="21"/>
      <c r="G60" s="21"/>
      <c r="H60" s="23"/>
      <c r="I60" s="23"/>
      <c r="J60" s="22"/>
      <c r="K60" s="22"/>
      <c r="L60" s="22"/>
      <c r="M60" s="22"/>
      <c r="N60" s="22"/>
      <c r="O60" s="24"/>
    </row>
    <row r="61" spans="1:19" ht="15.75" thickBot="1" x14ac:dyDescent="0.3">
      <c r="A61" s="666" t="s">
        <v>34</v>
      </c>
      <c r="B61" s="666"/>
      <c r="C61" s="666"/>
      <c r="D61" s="666"/>
      <c r="E61" s="666"/>
      <c r="F61" s="666"/>
      <c r="G61" s="666"/>
      <c r="H61" s="666"/>
      <c r="I61" s="666"/>
      <c r="J61" s="666"/>
      <c r="K61" s="666"/>
      <c r="L61" s="666"/>
      <c r="M61" s="666"/>
      <c r="N61" s="666"/>
      <c r="O61" s="666"/>
    </row>
    <row r="62" spans="1:19" ht="24.75" customHeight="1" thickBot="1" x14ac:dyDescent="0.3">
      <c r="A62" s="667" t="s">
        <v>6</v>
      </c>
      <c r="B62" s="670" t="s">
        <v>7</v>
      </c>
      <c r="C62" s="671"/>
      <c r="D62" s="657" t="s">
        <v>8</v>
      </c>
      <c r="E62" s="657" t="s">
        <v>9</v>
      </c>
      <c r="F62" s="657" t="s">
        <v>10</v>
      </c>
      <c r="G62" s="657" t="s">
        <v>35</v>
      </c>
      <c r="H62" s="670" t="s">
        <v>12</v>
      </c>
      <c r="I62" s="671"/>
      <c r="J62" s="657" t="s">
        <v>59</v>
      </c>
      <c r="K62" s="77"/>
      <c r="L62" s="77"/>
      <c r="M62" s="657" t="s">
        <v>13</v>
      </c>
      <c r="N62" s="657" t="s">
        <v>14</v>
      </c>
      <c r="O62" s="659" t="s">
        <v>36</v>
      </c>
    </row>
    <row r="63" spans="1:19" ht="15.75" thickBot="1" x14ac:dyDescent="0.3">
      <c r="A63" s="668"/>
      <c r="B63" s="672"/>
      <c r="C63" s="673"/>
      <c r="D63" s="658"/>
      <c r="E63" s="658"/>
      <c r="F63" s="658"/>
      <c r="G63" s="674"/>
      <c r="H63" s="657" t="s">
        <v>20</v>
      </c>
      <c r="I63" s="657" t="s">
        <v>17</v>
      </c>
      <c r="J63" s="675"/>
      <c r="K63" s="80"/>
      <c r="L63" s="80"/>
      <c r="M63" s="675"/>
      <c r="N63" s="658"/>
      <c r="O63" s="660"/>
    </row>
    <row r="64" spans="1:19" ht="27.75" customHeight="1" thickBot="1" x14ac:dyDescent="0.3">
      <c r="A64" s="668"/>
      <c r="B64" s="77" t="s">
        <v>18</v>
      </c>
      <c r="C64" s="79" t="s">
        <v>19</v>
      </c>
      <c r="D64" s="658"/>
      <c r="E64" s="658"/>
      <c r="F64" s="658"/>
      <c r="G64" s="674"/>
      <c r="H64" s="658"/>
      <c r="I64" s="658"/>
      <c r="J64" s="675"/>
      <c r="K64" s="78" t="s">
        <v>21</v>
      </c>
      <c r="L64" s="78" t="s">
        <v>22</v>
      </c>
      <c r="M64" s="675"/>
      <c r="N64" s="658"/>
      <c r="O64" s="661"/>
    </row>
    <row r="65" spans="1:21" ht="43.5" hidden="1" thickBot="1" x14ac:dyDescent="0.3">
      <c r="A65" s="96">
        <v>0</v>
      </c>
      <c r="B65" s="49" t="s">
        <v>66</v>
      </c>
      <c r="C65" s="49" t="s">
        <v>69</v>
      </c>
      <c r="D65" s="49" t="s">
        <v>37</v>
      </c>
      <c r="E65" s="49" t="s">
        <v>67</v>
      </c>
      <c r="F65" s="49" t="s">
        <v>38</v>
      </c>
      <c r="G65" s="50">
        <v>0</v>
      </c>
      <c r="H65" s="50"/>
      <c r="I65" s="50"/>
      <c r="J65" s="51">
        <v>250000</v>
      </c>
      <c r="K65" s="51">
        <v>0</v>
      </c>
      <c r="L65" s="51">
        <v>0</v>
      </c>
      <c r="M65" s="51"/>
      <c r="N65" s="51">
        <v>0</v>
      </c>
      <c r="O65" s="101">
        <f t="shared" ref="O65:O67" si="3">SUM(M65:N65)</f>
        <v>0</v>
      </c>
    </row>
    <row r="66" spans="1:21" ht="78" hidden="1" customHeight="1" thickBot="1" x14ac:dyDescent="0.3">
      <c r="A66" s="96">
        <v>0</v>
      </c>
      <c r="B66" s="49" t="s">
        <v>30</v>
      </c>
      <c r="C66" s="98" t="s">
        <v>70</v>
      </c>
      <c r="D66" s="49" t="s">
        <v>37</v>
      </c>
      <c r="E66" s="49" t="s">
        <v>68</v>
      </c>
      <c r="F66" s="49" t="s">
        <v>39</v>
      </c>
      <c r="G66" s="50">
        <v>0</v>
      </c>
      <c r="H66" s="50"/>
      <c r="I66" s="50"/>
      <c r="J66" s="51">
        <v>300000</v>
      </c>
      <c r="K66" s="51">
        <v>0</v>
      </c>
      <c r="L66" s="51">
        <v>0</v>
      </c>
      <c r="M66" s="51"/>
      <c r="N66" s="51">
        <v>0</v>
      </c>
      <c r="O66" s="101">
        <f t="shared" si="3"/>
        <v>0</v>
      </c>
      <c r="P66" s="19"/>
    </row>
    <row r="67" spans="1:21" ht="57.75" hidden="1" customHeight="1" thickBot="1" x14ac:dyDescent="0.3">
      <c r="A67" s="96">
        <v>0</v>
      </c>
      <c r="B67" s="49" t="s">
        <v>74</v>
      </c>
      <c r="C67" s="49" t="s">
        <v>73</v>
      </c>
      <c r="D67" s="49" t="s">
        <v>37</v>
      </c>
      <c r="E67" s="82" t="s">
        <v>72</v>
      </c>
      <c r="F67" s="49" t="s">
        <v>71</v>
      </c>
      <c r="G67" s="50">
        <v>0</v>
      </c>
      <c r="H67" s="50"/>
      <c r="I67" s="50"/>
      <c r="J67" s="51">
        <v>0</v>
      </c>
      <c r="K67" s="51">
        <v>0</v>
      </c>
      <c r="L67" s="51">
        <v>0</v>
      </c>
      <c r="M67" s="51"/>
      <c r="N67" s="51">
        <v>0</v>
      </c>
      <c r="O67" s="101">
        <f t="shared" si="3"/>
        <v>0</v>
      </c>
      <c r="P67" s="19"/>
    </row>
    <row r="68" spans="1:21" ht="85.5" customHeight="1" thickBot="1" x14ac:dyDescent="0.3">
      <c r="A68" s="63">
        <v>1</v>
      </c>
      <c r="B68" s="158" t="s">
        <v>30</v>
      </c>
      <c r="C68" s="156" t="s">
        <v>183</v>
      </c>
      <c r="D68" s="90" t="s">
        <v>37</v>
      </c>
      <c r="E68" s="151" t="s">
        <v>186</v>
      </c>
      <c r="F68" s="90" t="s">
        <v>160</v>
      </c>
      <c r="G68" s="147">
        <v>24</v>
      </c>
      <c r="H68" s="147">
        <v>7</v>
      </c>
      <c r="I68" s="147"/>
      <c r="J68" s="148">
        <v>300000</v>
      </c>
      <c r="K68" s="148">
        <v>4200</v>
      </c>
      <c r="L68" s="148">
        <v>18491.59</v>
      </c>
      <c r="M68" s="148"/>
      <c r="N68" s="148">
        <v>23800</v>
      </c>
      <c r="O68" s="157">
        <f>SUM(M68:N68)</f>
        <v>23800</v>
      </c>
      <c r="P68" s="19"/>
    </row>
    <row r="69" spans="1:21" ht="82.5" hidden="1" customHeight="1" thickBot="1" x14ac:dyDescent="0.3">
      <c r="A69" s="63"/>
      <c r="B69" s="158" t="s">
        <v>30</v>
      </c>
      <c r="C69" s="90" t="s">
        <v>109</v>
      </c>
      <c r="D69" s="90" t="s">
        <v>37</v>
      </c>
      <c r="E69" s="151" t="s">
        <v>108</v>
      </c>
      <c r="F69" s="90" t="s">
        <v>39</v>
      </c>
      <c r="G69" s="147"/>
      <c r="H69" s="147"/>
      <c r="I69" s="147"/>
      <c r="J69" s="148"/>
      <c r="K69" s="148"/>
      <c r="L69" s="148"/>
      <c r="M69" s="148"/>
      <c r="N69" s="148"/>
      <c r="O69" s="157">
        <f>SUM(M69:N69)</f>
        <v>0</v>
      </c>
      <c r="P69" s="19"/>
    </row>
    <row r="70" spans="1:21" ht="18.75" customHeight="1" thickBot="1" x14ac:dyDescent="0.3">
      <c r="A70" s="63">
        <f>SUM(A65:A69)</f>
        <v>1</v>
      </c>
      <c r="B70" s="662" t="s">
        <v>24</v>
      </c>
      <c r="C70" s="662"/>
      <c r="D70" s="662"/>
      <c r="E70" s="662"/>
      <c r="F70" s="662"/>
      <c r="G70" s="97">
        <f>SUM(G65:G69)</f>
        <v>24</v>
      </c>
      <c r="H70" s="97">
        <f t="shared" ref="H70:L70" si="4">SUM(H65:H69)</f>
        <v>7</v>
      </c>
      <c r="I70" s="97">
        <f t="shared" si="4"/>
        <v>0</v>
      </c>
      <c r="J70" s="97">
        <f t="shared" si="4"/>
        <v>850000</v>
      </c>
      <c r="K70" s="97">
        <f t="shared" si="4"/>
        <v>4200</v>
      </c>
      <c r="L70" s="97">
        <f t="shared" si="4"/>
        <v>18491.59</v>
      </c>
      <c r="M70" s="97">
        <f>SUM(M65:M69)</f>
        <v>0</v>
      </c>
      <c r="N70" s="97">
        <f>SUM(N65:N69)</f>
        <v>23800</v>
      </c>
      <c r="O70" s="97">
        <f>SUM(O65:O69)</f>
        <v>23800</v>
      </c>
    </row>
    <row r="71" spans="1:21" ht="15" customHeight="1" thickBot="1" x14ac:dyDescent="0.3">
      <c r="A71" s="663" t="s">
        <v>25</v>
      </c>
      <c r="B71" s="664"/>
      <c r="C71" s="664"/>
      <c r="D71" s="664"/>
      <c r="E71" s="664"/>
      <c r="F71" s="664"/>
      <c r="G71" s="664"/>
      <c r="H71" s="25"/>
      <c r="I71" s="25"/>
      <c r="J71" s="26"/>
      <c r="K71" s="26"/>
      <c r="L71" s="26"/>
      <c r="M71" s="27">
        <v>0</v>
      </c>
      <c r="N71" s="27">
        <f>N70*-0.1</f>
        <v>-2380</v>
      </c>
      <c r="O71" s="27">
        <f>N71</f>
        <v>-2380</v>
      </c>
    </row>
    <row r="72" spans="1:21" ht="17.25" customHeight="1" thickBot="1" x14ac:dyDescent="0.3">
      <c r="A72" s="665" t="s">
        <v>26</v>
      </c>
      <c r="B72" s="665"/>
      <c r="C72" s="665"/>
      <c r="D72" s="665"/>
      <c r="E72" s="665"/>
      <c r="F72" s="665"/>
      <c r="G72" s="665"/>
      <c r="H72" s="28"/>
      <c r="I72" s="28"/>
      <c r="J72" s="29"/>
      <c r="K72" s="29"/>
      <c r="L72" s="29"/>
      <c r="M72" s="27">
        <f>SUM(M70:M71)</f>
        <v>0</v>
      </c>
      <c r="N72" s="27">
        <f>N70 +(N71)</f>
        <v>21420</v>
      </c>
      <c r="O72" s="27">
        <f>O71+O70</f>
        <v>21420</v>
      </c>
    </row>
    <row r="73" spans="1:21" ht="17.25" customHeight="1" x14ac:dyDescent="0.25">
      <c r="A73" s="107"/>
      <c r="B73" s="107"/>
      <c r="C73" s="107"/>
      <c r="D73" s="107"/>
      <c r="E73" s="107"/>
      <c r="F73" s="107"/>
      <c r="G73" s="107"/>
      <c r="H73" s="30"/>
      <c r="I73" s="30"/>
      <c r="J73" s="31"/>
      <c r="K73" s="31"/>
      <c r="L73" s="31"/>
      <c r="M73" s="32"/>
      <c r="N73" s="32"/>
      <c r="O73" s="32"/>
      <c r="P73" s="106"/>
      <c r="Q73" s="106"/>
      <c r="R73" s="106"/>
      <c r="S73" s="106"/>
      <c r="T73" s="106"/>
      <c r="U73" s="106"/>
    </row>
    <row r="74" spans="1:21" ht="17.25" customHeight="1" thickBot="1" x14ac:dyDescent="0.3">
      <c r="A74" s="107"/>
      <c r="B74" s="705" t="s">
        <v>77</v>
      </c>
      <c r="C74" s="705"/>
      <c r="D74" s="705"/>
      <c r="E74" s="705"/>
      <c r="F74" s="705"/>
      <c r="G74" s="705"/>
      <c r="H74" s="30"/>
      <c r="I74" s="702" t="s">
        <v>75</v>
      </c>
      <c r="J74" s="703"/>
      <c r="K74" s="703"/>
      <c r="L74" s="703"/>
      <c r="M74" s="703"/>
      <c r="N74" s="703"/>
      <c r="O74" s="32"/>
      <c r="P74" s="145"/>
      <c r="Q74" s="145"/>
      <c r="R74" s="145"/>
      <c r="S74" s="145"/>
      <c r="T74" s="145"/>
      <c r="U74" s="145"/>
    </row>
    <row r="75" spans="1:21" ht="17.25" customHeight="1" thickBot="1" x14ac:dyDescent="0.3">
      <c r="A75" s="23"/>
      <c r="B75" s="706"/>
      <c r="C75" s="706"/>
      <c r="D75" s="706"/>
      <c r="E75" s="706"/>
      <c r="F75" s="706"/>
      <c r="G75" s="706"/>
      <c r="H75" s="30"/>
      <c r="I75" s="30"/>
      <c r="J75" s="31"/>
      <c r="K75" s="31"/>
      <c r="L75" s="31"/>
      <c r="M75" s="32"/>
      <c r="N75" s="32"/>
      <c r="O75" s="32"/>
      <c r="P75" s="648" t="s">
        <v>143</v>
      </c>
      <c r="Q75" s="649"/>
      <c r="R75" s="649"/>
      <c r="S75" s="649"/>
      <c r="T75" s="649"/>
      <c r="U75" s="650"/>
    </row>
    <row r="76" spans="1:21" ht="32.25" thickBot="1" x14ac:dyDescent="0.3">
      <c r="A76" s="684" t="s">
        <v>40</v>
      </c>
      <c r="B76" s="684"/>
      <c r="C76" s="684"/>
      <c r="D76" s="684" t="s">
        <v>140</v>
      </c>
      <c r="E76" s="684"/>
      <c r="F76" s="684" t="s">
        <v>141</v>
      </c>
      <c r="G76" s="684"/>
      <c r="H76" s="30"/>
      <c r="I76" s="65" t="s">
        <v>41</v>
      </c>
      <c r="J76" s="66" t="s">
        <v>42</v>
      </c>
      <c r="K76" s="67" t="s">
        <v>43</v>
      </c>
      <c r="L76" s="67" t="s">
        <v>44</v>
      </c>
      <c r="M76" s="68" t="s">
        <v>45</v>
      </c>
      <c r="N76" s="69" t="s">
        <v>31</v>
      </c>
      <c r="O76" s="32"/>
      <c r="P76" s="140" t="s">
        <v>41</v>
      </c>
      <c r="Q76" s="141" t="s">
        <v>42</v>
      </c>
      <c r="R76" s="142" t="s">
        <v>43</v>
      </c>
      <c r="S76" s="142" t="s">
        <v>44</v>
      </c>
      <c r="T76" s="143" t="s">
        <v>45</v>
      </c>
      <c r="U76" s="144" t="s">
        <v>31</v>
      </c>
    </row>
    <row r="77" spans="1:21" ht="27.75" customHeight="1" thickBot="1" x14ac:dyDescent="0.3">
      <c r="A77" s="689" t="s">
        <v>46</v>
      </c>
      <c r="B77" s="689"/>
      <c r="C77" s="689"/>
      <c r="D77" s="692">
        <v>826990.7</v>
      </c>
      <c r="E77" s="693"/>
      <c r="F77" s="692">
        <f>F85</f>
        <v>903490.95000000007</v>
      </c>
      <c r="G77" s="693"/>
      <c r="H77" s="30"/>
      <c r="I77" s="70" t="s">
        <v>22</v>
      </c>
      <c r="J77" s="33">
        <f>L24</f>
        <v>59625</v>
      </c>
      <c r="K77" s="33">
        <f>L56</f>
        <v>20750</v>
      </c>
      <c r="L77" s="33">
        <f>L44</f>
        <v>72100</v>
      </c>
      <c r="M77" s="34">
        <f>L70</f>
        <v>18491.59</v>
      </c>
      <c r="N77" s="35">
        <f>SUM(J77:M77)</f>
        <v>170966.59</v>
      </c>
      <c r="O77" s="105"/>
      <c r="P77" s="70" t="s">
        <v>22</v>
      </c>
      <c r="Q77" s="33">
        <v>62500</v>
      </c>
      <c r="R77" s="33">
        <v>23000</v>
      </c>
      <c r="S77" s="33">
        <v>61600</v>
      </c>
      <c r="T77" s="34">
        <v>9304.09</v>
      </c>
      <c r="U77" s="35">
        <f>SUM(Q77:T77)</f>
        <v>156404.09</v>
      </c>
    </row>
    <row r="78" spans="1:21" ht="20.100000000000001" customHeight="1" thickBot="1" x14ac:dyDescent="0.3">
      <c r="A78" s="689" t="s">
        <v>47</v>
      </c>
      <c r="B78" s="689"/>
      <c r="C78" s="689"/>
      <c r="D78" s="692">
        <v>5</v>
      </c>
      <c r="E78" s="693"/>
      <c r="F78" s="687">
        <f>A23+A68</f>
        <v>2</v>
      </c>
      <c r="G78" s="688"/>
      <c r="H78" s="104"/>
      <c r="I78" s="71" t="s">
        <v>48</v>
      </c>
      <c r="J78" s="36">
        <f>K24</f>
        <v>16100</v>
      </c>
      <c r="K78" s="33">
        <f>K56</f>
        <v>15000</v>
      </c>
      <c r="L78" s="36">
        <f>K44</f>
        <v>18900</v>
      </c>
      <c r="M78" s="37">
        <f>K70</f>
        <v>4200</v>
      </c>
      <c r="N78" s="38">
        <f t="shared" ref="N78" si="5">SUM(J78:M78)</f>
        <v>54200</v>
      </c>
      <c r="O78" s="105"/>
      <c r="P78" s="71" t="s">
        <v>48</v>
      </c>
      <c r="Q78" s="36">
        <v>27500</v>
      </c>
      <c r="R78" s="33">
        <v>15900</v>
      </c>
      <c r="S78" s="36">
        <v>22400</v>
      </c>
      <c r="T78" s="37">
        <v>4100</v>
      </c>
      <c r="U78" s="38">
        <f>SUM(Q78:T78)</f>
        <v>69900</v>
      </c>
    </row>
    <row r="79" spans="1:21" ht="31.5" customHeight="1" thickBot="1" x14ac:dyDescent="0.3">
      <c r="A79" s="719" t="s">
        <v>49</v>
      </c>
      <c r="B79" s="720"/>
      <c r="C79" s="721"/>
      <c r="D79" s="685">
        <v>14</v>
      </c>
      <c r="E79" s="686"/>
      <c r="F79" s="687">
        <f>(A70+A56+A44+A24)</f>
        <v>13</v>
      </c>
      <c r="G79" s="688"/>
      <c r="H79" s="104"/>
      <c r="I79" s="72" t="s">
        <v>50</v>
      </c>
      <c r="J79" s="39">
        <f>O26</f>
        <v>433452.00800000003</v>
      </c>
      <c r="K79" s="39">
        <f>O58</f>
        <v>315008.46600000001</v>
      </c>
      <c r="L79" s="39">
        <f>O46</f>
        <v>133610.476</v>
      </c>
      <c r="M79" s="40">
        <f>O72</f>
        <v>21420</v>
      </c>
      <c r="N79" s="41">
        <f>SUM(J79:M79)</f>
        <v>903490.95000000007</v>
      </c>
      <c r="O79" s="105"/>
      <c r="P79" s="72" t="s">
        <v>50</v>
      </c>
      <c r="Q79" s="39">
        <v>398365</v>
      </c>
      <c r="R79" s="39">
        <v>337683</v>
      </c>
      <c r="S79" s="39">
        <v>30782.7</v>
      </c>
      <c r="T79" s="40">
        <v>60160</v>
      </c>
      <c r="U79" s="41">
        <f>SUM(Q79:T79)</f>
        <v>826990.7</v>
      </c>
    </row>
    <row r="80" spans="1:21" ht="20.100000000000001" customHeight="1" thickBot="1" x14ac:dyDescent="0.3">
      <c r="A80" s="689" t="s">
        <v>51</v>
      </c>
      <c r="B80" s="689"/>
      <c r="C80" s="689"/>
      <c r="D80" s="685">
        <v>78</v>
      </c>
      <c r="E80" s="686"/>
      <c r="F80" s="690">
        <f>(H24+I24)+(H44+I44)+(H56+I56)+(H70+I70)</f>
        <v>50</v>
      </c>
      <c r="G80" s="691"/>
      <c r="H80" s="23"/>
      <c r="I80" s="73" t="s">
        <v>31</v>
      </c>
      <c r="J80" s="74">
        <f>SUM(J77:J79)</f>
        <v>509177.00800000003</v>
      </c>
      <c r="K80" s="74">
        <f t="shared" ref="K80:M80" si="6">SUM(K77:K79)</f>
        <v>350758.46600000001</v>
      </c>
      <c r="L80" s="74">
        <f t="shared" si="6"/>
        <v>224610.476</v>
      </c>
      <c r="M80" s="75">
        <f t="shared" si="6"/>
        <v>44111.59</v>
      </c>
      <c r="N80" s="76">
        <f>SUM(J80:M80)</f>
        <v>1128657.54</v>
      </c>
      <c r="O80" s="146"/>
      <c r="P80" s="73" t="s">
        <v>31</v>
      </c>
      <c r="Q80" s="74">
        <f>SUM(Q77:Q79)</f>
        <v>488365</v>
      </c>
      <c r="R80" s="74">
        <f t="shared" ref="R80:T80" si="7">SUM(R77:R79)</f>
        <v>376583</v>
      </c>
      <c r="S80" s="74">
        <f t="shared" si="7"/>
        <v>114782.7</v>
      </c>
      <c r="T80" s="74">
        <f t="shared" si="7"/>
        <v>73564.09</v>
      </c>
      <c r="U80" s="76">
        <f>SUM(Q80:T80)</f>
        <v>1053294.79</v>
      </c>
    </row>
    <row r="81" spans="1:22" ht="20.100000000000001" customHeight="1" thickBot="1" x14ac:dyDescent="0.3">
      <c r="A81" s="689" t="s">
        <v>52</v>
      </c>
      <c r="B81" s="689"/>
      <c r="C81" s="689"/>
      <c r="D81" s="715">
        <v>232</v>
      </c>
      <c r="E81" s="716"/>
      <c r="F81" s="717">
        <f>G24+G44+G56+G70</f>
        <v>208</v>
      </c>
      <c r="G81" s="718"/>
      <c r="H81" s="23"/>
      <c r="I81" s="704" t="s">
        <v>76</v>
      </c>
      <c r="J81" s="704"/>
      <c r="K81" s="704"/>
      <c r="L81" s="704"/>
      <c r="M81" s="704"/>
      <c r="N81" s="704"/>
      <c r="O81" s="146"/>
      <c r="P81" s="699" t="s">
        <v>142</v>
      </c>
      <c r="Q81" s="700"/>
      <c r="R81" s="700"/>
      <c r="S81" s="700"/>
      <c r="T81" s="700"/>
      <c r="U81" s="701"/>
    </row>
    <row r="82" spans="1:22" ht="35.25" customHeight="1" thickBot="1" x14ac:dyDescent="0.3">
      <c r="A82" s="712" t="s">
        <v>53</v>
      </c>
      <c r="B82" s="712"/>
      <c r="C82" s="712"/>
      <c r="D82" s="692">
        <v>636368</v>
      </c>
      <c r="E82" s="693"/>
      <c r="F82" s="713">
        <f>M72+M58+M46+M26</f>
        <v>711358.05</v>
      </c>
      <c r="G82" s="714"/>
      <c r="H82" s="104"/>
      <c r="I82" s="65" t="s">
        <v>41</v>
      </c>
      <c r="J82" s="66" t="s">
        <v>42</v>
      </c>
      <c r="K82" s="67" t="s">
        <v>43</v>
      </c>
      <c r="L82" s="162" t="s">
        <v>44</v>
      </c>
      <c r="M82" s="114" t="s">
        <v>45</v>
      </c>
      <c r="N82" s="69" t="s">
        <v>31</v>
      </c>
      <c r="O82" s="146"/>
      <c r="P82" s="65" t="s">
        <v>41</v>
      </c>
      <c r="Q82" s="66" t="s">
        <v>42</v>
      </c>
      <c r="R82" s="67" t="s">
        <v>43</v>
      </c>
      <c r="S82" s="67" t="s">
        <v>44</v>
      </c>
      <c r="T82" s="68" t="s">
        <v>45</v>
      </c>
      <c r="U82" s="69" t="s">
        <v>31</v>
      </c>
    </row>
    <row r="83" spans="1:22" ht="20.100000000000001" customHeight="1" thickBot="1" x14ac:dyDescent="0.3">
      <c r="A83" s="712" t="s">
        <v>54</v>
      </c>
      <c r="B83" s="712"/>
      <c r="C83" s="712"/>
      <c r="D83" s="692">
        <v>211803</v>
      </c>
      <c r="E83" s="693"/>
      <c r="F83" s="713">
        <f>N70+N56+N44+N24</f>
        <v>213481</v>
      </c>
      <c r="G83" s="714"/>
      <c r="H83" s="104"/>
      <c r="I83" s="70" t="s">
        <v>22</v>
      </c>
      <c r="J83" s="108">
        <f>J77/Q77</f>
        <v>0.95399999999999996</v>
      </c>
      <c r="K83" s="108">
        <f>K77/R77</f>
        <v>0.90217391304347827</v>
      </c>
      <c r="L83" s="108">
        <f>L77/S77</f>
        <v>1.1704545454545454</v>
      </c>
      <c r="M83" s="108">
        <f>M77/T77</f>
        <v>1.9874689518265622</v>
      </c>
      <c r="N83" s="159">
        <f>N77/U77</f>
        <v>1.0931081789485173</v>
      </c>
      <c r="O83" s="146"/>
      <c r="P83" s="115" t="s">
        <v>47</v>
      </c>
      <c r="Q83" s="119">
        <v>3</v>
      </c>
      <c r="R83" s="117" t="s">
        <v>192</v>
      </c>
      <c r="S83" s="117" t="s">
        <v>192</v>
      </c>
      <c r="T83" s="125">
        <v>0</v>
      </c>
      <c r="U83" s="126">
        <v>3</v>
      </c>
    </row>
    <row r="84" spans="1:22" ht="20.100000000000001" customHeight="1" thickBot="1" x14ac:dyDescent="0.3">
      <c r="A84" s="712" t="s">
        <v>55</v>
      </c>
      <c r="B84" s="712"/>
      <c r="C84" s="712"/>
      <c r="D84" s="692">
        <v>-21180.3</v>
      </c>
      <c r="E84" s="693"/>
      <c r="F84" s="713">
        <f>(N71+N57+N45+N25)</f>
        <v>-21348.100000000002</v>
      </c>
      <c r="G84" s="714"/>
      <c r="H84" s="104"/>
      <c r="I84" s="71" t="s">
        <v>48</v>
      </c>
      <c r="J84" s="108">
        <f>J78/Q78</f>
        <v>0.58545454545454545</v>
      </c>
      <c r="K84" s="108">
        <f t="shared" ref="K84:N86" si="8">K78/R78</f>
        <v>0.94339622641509435</v>
      </c>
      <c r="L84" s="108">
        <f t="shared" si="8"/>
        <v>0.84375</v>
      </c>
      <c r="M84" s="108">
        <f t="shared" si="8"/>
        <v>1.024390243902439</v>
      </c>
      <c r="N84" s="159">
        <f t="shared" si="8"/>
        <v>0.77539341917024318</v>
      </c>
      <c r="O84" s="146"/>
      <c r="P84" s="116" t="s">
        <v>78</v>
      </c>
      <c r="Q84" s="174">
        <v>5</v>
      </c>
      <c r="R84" s="117">
        <v>4</v>
      </c>
      <c r="S84" s="175">
        <v>4</v>
      </c>
      <c r="T84" s="176">
        <v>1</v>
      </c>
      <c r="U84" s="126">
        <v>14</v>
      </c>
    </row>
    <row r="85" spans="1:22" ht="20.100000000000001" customHeight="1" thickBot="1" x14ac:dyDescent="0.3">
      <c r="A85" s="707" t="s">
        <v>56</v>
      </c>
      <c r="B85" s="707"/>
      <c r="C85" s="707"/>
      <c r="D85" s="708">
        <f>SUM(D82:E84)</f>
        <v>826990.7</v>
      </c>
      <c r="E85" s="709"/>
      <c r="F85" s="710">
        <f>F82+F83+F84</f>
        <v>903490.95000000007</v>
      </c>
      <c r="G85" s="710"/>
      <c r="H85" s="103"/>
      <c r="I85" s="72" t="s">
        <v>50</v>
      </c>
      <c r="J85" s="108">
        <f>J79/Q79</f>
        <v>1.0880775369322104</v>
      </c>
      <c r="K85" s="108">
        <f>K79/R79</f>
        <v>0.93285260436563289</v>
      </c>
      <c r="L85" s="108">
        <f t="shared" si="8"/>
        <v>4.340440442196428</v>
      </c>
      <c r="M85" s="108">
        <f t="shared" si="8"/>
        <v>0.35605053191489361</v>
      </c>
      <c r="N85" s="159">
        <f t="shared" si="8"/>
        <v>1.0925043655267226</v>
      </c>
      <c r="O85" s="146"/>
      <c r="P85" s="72" t="s">
        <v>79</v>
      </c>
      <c r="Q85" s="174">
        <v>48</v>
      </c>
      <c r="R85" s="117" t="s">
        <v>192</v>
      </c>
      <c r="S85" s="175" t="s">
        <v>192</v>
      </c>
      <c r="T85" s="176">
        <v>30</v>
      </c>
      <c r="U85" s="126">
        <v>78</v>
      </c>
    </row>
    <row r="86" spans="1:22" ht="20.100000000000001" customHeight="1" thickBot="1" x14ac:dyDescent="0.3">
      <c r="A86" s="42"/>
      <c r="B86" s="42"/>
      <c r="C86" s="42"/>
      <c r="D86" s="42"/>
      <c r="E86" s="42"/>
      <c r="F86" s="42"/>
      <c r="G86" s="103"/>
      <c r="H86" s="103"/>
      <c r="I86" s="73" t="s">
        <v>31</v>
      </c>
      <c r="J86" s="111">
        <f>J80/Q80</f>
        <v>1.0426156829420619</v>
      </c>
      <c r="K86" s="111">
        <f>K80/R80</f>
        <v>0.93142405791020844</v>
      </c>
      <c r="L86" s="111">
        <f t="shared" si="8"/>
        <v>1.9568321358532252</v>
      </c>
      <c r="M86" s="112">
        <f t="shared" si="8"/>
        <v>0.59963482182679073</v>
      </c>
      <c r="N86" s="113">
        <f t="shared" si="8"/>
        <v>1.0715495326811595</v>
      </c>
      <c r="O86" s="42"/>
      <c r="P86" s="72" t="s">
        <v>80</v>
      </c>
      <c r="Q86" s="174">
        <v>56</v>
      </c>
      <c r="R86" s="117">
        <v>32</v>
      </c>
      <c r="S86" s="175">
        <v>112</v>
      </c>
      <c r="T86" s="176">
        <v>32</v>
      </c>
      <c r="U86" s="126">
        <v>232</v>
      </c>
    </row>
    <row r="87" spans="1:22" x14ac:dyDescent="0.25">
      <c r="A87" s="42"/>
      <c r="B87" s="711"/>
      <c r="C87" s="711"/>
      <c r="D87" s="711"/>
      <c r="E87" s="43"/>
      <c r="F87" s="43" t="s">
        <v>16</v>
      </c>
      <c r="G87" s="135"/>
      <c r="I87" s="42"/>
      <c r="J87" s="42"/>
      <c r="K87" s="42"/>
      <c r="L87" s="42"/>
      <c r="M87" s="42"/>
      <c r="N87" s="42"/>
      <c r="O87" s="42"/>
      <c r="P87" s="72" t="s">
        <v>81</v>
      </c>
      <c r="Q87" s="177">
        <v>329245</v>
      </c>
      <c r="R87" s="117">
        <v>267123</v>
      </c>
      <c r="S87" s="175" t="s">
        <v>192</v>
      </c>
      <c r="T87" s="178">
        <v>40000</v>
      </c>
      <c r="U87" s="126">
        <v>721932</v>
      </c>
    </row>
    <row r="88" spans="1:22" ht="15.75" thickBot="1" x14ac:dyDescent="0.3">
      <c r="A88" s="42"/>
      <c r="B88" s="44"/>
      <c r="C88" s="44"/>
      <c r="D88" s="44"/>
      <c r="E88" s="45"/>
      <c r="F88" s="44"/>
      <c r="G88" s="46"/>
      <c r="H88" s="44"/>
      <c r="I88" s="651" t="s">
        <v>84</v>
      </c>
      <c r="J88" s="651"/>
      <c r="K88" s="651"/>
      <c r="L88" s="651"/>
      <c r="M88" s="651"/>
      <c r="N88" s="651"/>
      <c r="O88" s="42"/>
      <c r="P88" s="72" t="s">
        <v>83</v>
      </c>
      <c r="Q88" s="179">
        <v>69120</v>
      </c>
      <c r="R88" s="180">
        <v>70560</v>
      </c>
      <c r="S88" s="180">
        <v>30782.7</v>
      </c>
      <c r="T88" s="181">
        <v>20160</v>
      </c>
      <c r="U88" s="126">
        <v>190622.7</v>
      </c>
      <c r="V88" s="48"/>
    </row>
    <row r="89" spans="1:22" ht="32.25" thickBot="1" x14ac:dyDescent="0.3">
      <c r="A89" s="42"/>
      <c r="B89" s="42"/>
      <c r="C89" s="42"/>
      <c r="D89" s="42"/>
      <c r="E89" s="42"/>
      <c r="F89" s="42"/>
      <c r="G89" s="42"/>
      <c r="H89" s="44"/>
      <c r="I89" s="65" t="s">
        <v>41</v>
      </c>
      <c r="J89" s="66" t="s">
        <v>42</v>
      </c>
      <c r="K89" s="67" t="s">
        <v>43</v>
      </c>
      <c r="L89" s="67" t="s">
        <v>103</v>
      </c>
      <c r="M89" s="68" t="s">
        <v>45</v>
      </c>
      <c r="N89" s="69" t="s">
        <v>31</v>
      </c>
      <c r="O89" s="42"/>
      <c r="P89" s="73" t="s">
        <v>31</v>
      </c>
      <c r="Q89" s="118">
        <v>398365</v>
      </c>
      <c r="R89" s="74">
        <v>423247</v>
      </c>
      <c r="S89" s="74">
        <v>30782.7</v>
      </c>
      <c r="T89" s="74">
        <v>60160</v>
      </c>
      <c r="U89" s="74">
        <v>912554.7</v>
      </c>
    </row>
    <row r="90" spans="1:22" x14ac:dyDescent="0.25">
      <c r="A90" s="42"/>
      <c r="B90" s="136" t="s">
        <v>97</v>
      </c>
      <c r="C90" s="136"/>
      <c r="D90" s="136"/>
      <c r="E90" s="43" t="s">
        <v>98</v>
      </c>
      <c r="F90" s="42"/>
      <c r="G90" s="42"/>
      <c r="H90" s="47"/>
      <c r="I90" s="115" t="s">
        <v>47</v>
      </c>
      <c r="J90" s="120">
        <f>1/Q83</f>
        <v>0.33333333333333331</v>
      </c>
      <c r="K90" s="117" t="e">
        <f>0/R83</f>
        <v>#VALUE!</v>
      </c>
      <c r="L90" s="117" t="e">
        <f>0/S83</f>
        <v>#VALUE!</v>
      </c>
      <c r="M90" s="109" t="e">
        <f>1/T83</f>
        <v>#DIV/0!</v>
      </c>
      <c r="N90" s="110">
        <f t="shared" ref="N90:N95" si="9">F78/D78</f>
        <v>0.4</v>
      </c>
      <c r="O90" s="42"/>
    </row>
    <row r="91" spans="1:22" x14ac:dyDescent="0.25">
      <c r="A91" s="42"/>
      <c r="B91" s="44"/>
      <c r="C91" s="44"/>
      <c r="D91" s="44"/>
      <c r="E91" s="45"/>
      <c r="F91" s="43"/>
      <c r="G91" s="42"/>
      <c r="H91" s="44"/>
      <c r="I91" s="116" t="s">
        <v>78</v>
      </c>
      <c r="J91" s="121">
        <f>A24/Q84</f>
        <v>0.8</v>
      </c>
      <c r="K91" s="120">
        <f>A56/R84</f>
        <v>1</v>
      </c>
      <c r="L91" s="127">
        <f>A44/S84</f>
        <v>1</v>
      </c>
      <c r="M91" s="128">
        <f>A70/T84</f>
        <v>1</v>
      </c>
      <c r="N91" s="132">
        <f t="shared" si="9"/>
        <v>0.9285714285714286</v>
      </c>
      <c r="O91" s="42"/>
    </row>
    <row r="92" spans="1:22" x14ac:dyDescent="0.25">
      <c r="A92" s="42"/>
      <c r="B92" s="44"/>
      <c r="C92" s="44"/>
      <c r="D92" s="44"/>
      <c r="E92" s="45"/>
      <c r="F92" s="44"/>
      <c r="G92" s="42"/>
      <c r="H92" s="42"/>
      <c r="I92" s="72" t="s">
        <v>79</v>
      </c>
      <c r="J92" s="121">
        <f>H24+I24/Q85</f>
        <v>42.020833333333336</v>
      </c>
      <c r="K92" s="33" t="e">
        <f>H56+I56/R85</f>
        <v>#VALUE!</v>
      </c>
      <c r="L92" s="124" t="e">
        <f>H44+I44/S85</f>
        <v>#VALUE!</v>
      </c>
      <c r="M92" s="128">
        <f>(H70+I70)/T85</f>
        <v>0.23333333333333334</v>
      </c>
      <c r="N92" s="132">
        <f t="shared" si="9"/>
        <v>0.64102564102564108</v>
      </c>
      <c r="O92" s="42"/>
      <c r="R92" s="697"/>
      <c r="S92" s="697"/>
    </row>
    <row r="93" spans="1:22" x14ac:dyDescent="0.25">
      <c r="A93" s="42"/>
      <c r="B93" s="44"/>
      <c r="C93" s="44"/>
      <c r="D93" s="44"/>
      <c r="E93" s="45"/>
      <c r="F93" s="44"/>
      <c r="G93" s="42"/>
      <c r="H93" s="42"/>
      <c r="I93" s="72" t="s">
        <v>80</v>
      </c>
      <c r="J93" s="121">
        <f>G24/Q86</f>
        <v>1.1428571428571428</v>
      </c>
      <c r="K93" s="120">
        <f>G56/R86</f>
        <v>1.5</v>
      </c>
      <c r="L93" s="121">
        <f>G44/S86</f>
        <v>0.6428571428571429</v>
      </c>
      <c r="M93" s="128">
        <f>G70/T86</f>
        <v>0.75</v>
      </c>
      <c r="N93" s="132">
        <f t="shared" si="9"/>
        <v>0.89655172413793105</v>
      </c>
      <c r="O93" s="42"/>
    </row>
    <row r="94" spans="1:22" x14ac:dyDescent="0.25">
      <c r="A94" s="42"/>
      <c r="B94" s="44"/>
      <c r="C94" s="44"/>
      <c r="D94" s="44"/>
      <c r="E94" s="45"/>
      <c r="F94" s="44"/>
      <c r="G94" s="42"/>
      <c r="H94" s="42"/>
      <c r="I94" s="72" t="s">
        <v>81</v>
      </c>
      <c r="J94" s="121">
        <f>M24/Q87</f>
        <v>1.1109003933241204</v>
      </c>
      <c r="K94" s="120">
        <f>M56/R87</f>
        <v>0.90415954447950941</v>
      </c>
      <c r="L94" s="121" t="e">
        <f>M44/S87</f>
        <v>#VALUE!</v>
      </c>
      <c r="M94" s="128">
        <f>M72/T87</f>
        <v>0</v>
      </c>
      <c r="N94" s="132">
        <f t="shared" si="9"/>
        <v>1.1178406990923491</v>
      </c>
      <c r="O94" s="42"/>
    </row>
    <row r="95" spans="1:22" x14ac:dyDescent="0.25">
      <c r="A95" s="42"/>
      <c r="B95" s="137" t="s">
        <v>99</v>
      </c>
      <c r="C95" s="137"/>
      <c r="D95" s="137"/>
      <c r="E95" s="138" t="s">
        <v>100</v>
      </c>
      <c r="F95" s="44"/>
      <c r="G95" s="42"/>
      <c r="H95" s="42"/>
      <c r="I95" s="72" t="s">
        <v>82</v>
      </c>
      <c r="J95" s="122">
        <f>N26/Q88</f>
        <v>0.97936354166666661</v>
      </c>
      <c r="K95" s="122">
        <f>N58/R88</f>
        <v>1.0414775510204082</v>
      </c>
      <c r="L95" s="122">
        <f>N46/S88</f>
        <v>0.95939069672250965</v>
      </c>
      <c r="M95" s="129">
        <f>N72/T88</f>
        <v>1.0625</v>
      </c>
      <c r="N95" s="132">
        <f t="shared" si="9"/>
        <v>1.007922456244718</v>
      </c>
      <c r="O95" s="42"/>
    </row>
    <row r="96" spans="1:22" ht="15.75" thickBot="1" x14ac:dyDescent="0.3">
      <c r="A96" s="42"/>
      <c r="B96" s="44" t="s">
        <v>101</v>
      </c>
      <c r="C96" s="44"/>
      <c r="D96" s="44"/>
      <c r="E96" s="43" t="s">
        <v>102</v>
      </c>
      <c r="F96" s="138"/>
      <c r="G96" s="42"/>
      <c r="H96" s="42"/>
      <c r="I96" s="73" t="s">
        <v>31</v>
      </c>
      <c r="J96" s="123">
        <f>J79/Q79</f>
        <v>1.0880775369322104</v>
      </c>
      <c r="K96" s="123">
        <f>K79/R79</f>
        <v>0.93285260436563289</v>
      </c>
      <c r="L96" s="123">
        <f>L79/S79</f>
        <v>4.340440442196428</v>
      </c>
      <c r="M96" s="130">
        <f>M79/T79</f>
        <v>0.35605053191489361</v>
      </c>
      <c r="N96" s="131">
        <f>N79/U79</f>
        <v>1.0925043655267226</v>
      </c>
      <c r="O96" s="42"/>
    </row>
    <row r="97" spans="1:15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</row>
    <row r="98" spans="1:15" x14ac:dyDescent="0.25">
      <c r="A98" s="42"/>
      <c r="B98" s="5"/>
      <c r="C98" s="5"/>
      <c r="D98" s="5"/>
      <c r="E98" s="5"/>
      <c r="F98" s="5"/>
      <c r="G98" s="42"/>
      <c r="H98" s="42"/>
      <c r="I98" s="5"/>
      <c r="O98" s="42"/>
    </row>
    <row r="99" spans="1:15" x14ac:dyDescent="0.25">
      <c r="A99" s="42"/>
      <c r="B99" s="5"/>
      <c r="C99" s="5"/>
      <c r="D99" s="5"/>
      <c r="E99" s="5"/>
      <c r="F99" s="5"/>
      <c r="G99" s="42"/>
      <c r="H99" s="42"/>
      <c r="I99" s="5"/>
      <c r="O99" s="42"/>
    </row>
    <row r="100" spans="1:15" x14ac:dyDescent="0.25">
      <c r="A100" s="42"/>
      <c r="B100" s="5"/>
      <c r="C100" s="5"/>
      <c r="D100" s="5"/>
      <c r="E100" s="5"/>
      <c r="F100" s="5"/>
      <c r="G100" s="42"/>
      <c r="H100" s="42"/>
      <c r="I100" s="5"/>
      <c r="J100" s="5"/>
      <c r="K100" s="5"/>
      <c r="L100" s="5"/>
      <c r="M100" s="5"/>
      <c r="N100" s="5"/>
    </row>
    <row r="101" spans="1:15" x14ac:dyDescent="0.25">
      <c r="A101" s="42"/>
      <c r="B101" s="5"/>
      <c r="C101" s="5"/>
      <c r="D101" s="5"/>
      <c r="E101" s="5"/>
      <c r="F101" s="5"/>
      <c r="G101" s="42"/>
      <c r="H101" s="42"/>
      <c r="I101" s="5"/>
      <c r="J101" s="5"/>
      <c r="K101" s="5"/>
      <c r="L101" s="5"/>
      <c r="M101" s="5"/>
      <c r="N101" s="5"/>
    </row>
    <row r="102" spans="1:15" x14ac:dyDescent="0.25">
      <c r="A102" s="42"/>
      <c r="B102" s="5"/>
      <c r="C102" s="5"/>
      <c r="D102" s="5"/>
      <c r="E102" s="5"/>
      <c r="F102" s="5"/>
      <c r="G102" s="42"/>
      <c r="H102" s="42"/>
      <c r="I102" s="5"/>
      <c r="J102" s="5"/>
      <c r="K102" s="5"/>
      <c r="L102" s="5"/>
      <c r="M102" s="5"/>
      <c r="N102" s="5"/>
    </row>
    <row r="103" spans="1:15" x14ac:dyDescent="0.25">
      <c r="A103" s="42"/>
      <c r="B103" s="5"/>
      <c r="C103" s="5"/>
      <c r="D103" s="5"/>
      <c r="E103" s="5"/>
      <c r="F103" s="5"/>
      <c r="G103" s="42"/>
      <c r="H103" s="42"/>
      <c r="I103" s="5"/>
      <c r="J103" s="5"/>
      <c r="K103" s="5"/>
      <c r="L103" s="5"/>
      <c r="M103" s="5"/>
      <c r="N103" s="5"/>
    </row>
    <row r="104" spans="1:15" x14ac:dyDescent="0.25">
      <c r="A104" s="42"/>
      <c r="B104" s="5"/>
      <c r="C104" s="5"/>
      <c r="D104" s="5"/>
      <c r="E104" s="5"/>
      <c r="F104" s="5"/>
      <c r="G104" s="5"/>
      <c r="H104" s="42"/>
      <c r="I104" s="5"/>
      <c r="J104" s="5"/>
      <c r="K104" s="5"/>
      <c r="L104" s="5"/>
      <c r="M104" s="5"/>
      <c r="N104" s="5"/>
    </row>
    <row r="105" spans="1:15" x14ac:dyDescent="0.25">
      <c r="A105" s="42"/>
      <c r="B105" s="5"/>
      <c r="C105" s="5"/>
      <c r="D105" s="5"/>
      <c r="E105" s="5"/>
      <c r="F105" s="5"/>
      <c r="G105" s="5"/>
      <c r="H105" s="42"/>
      <c r="I105" s="5"/>
      <c r="J105" s="5"/>
      <c r="K105" s="5"/>
      <c r="L105" s="5"/>
      <c r="M105" s="5"/>
      <c r="N105" s="5"/>
    </row>
    <row r="106" spans="1:15" x14ac:dyDescent="0.25">
      <c r="A106" s="42"/>
      <c r="B106" s="5"/>
      <c r="C106" s="5"/>
      <c r="D106" s="5"/>
      <c r="E106" s="5"/>
      <c r="F106" s="5"/>
      <c r="G106" s="5"/>
      <c r="H106" s="42"/>
      <c r="I106" s="5"/>
      <c r="J106" s="5"/>
      <c r="K106" s="5"/>
      <c r="L106" s="5"/>
      <c r="M106" s="5"/>
      <c r="N106" s="5"/>
    </row>
    <row r="107" spans="1:15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5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5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5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5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5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5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5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</row>
    <row r="116" spans="1:15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</row>
    <row r="117" spans="1:15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</row>
    <row r="118" spans="1:15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</row>
    <row r="119" spans="1:15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</row>
    <row r="120" spans="1:15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</row>
    <row r="121" spans="1:15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</row>
    <row r="122" spans="1:15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</row>
    <row r="124" spans="1:15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</row>
    <row r="125" spans="1:15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</row>
    <row r="126" spans="1:15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 spans="1:15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</row>
    <row r="128" spans="1:15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 spans="1:15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</row>
    <row r="130" spans="1:15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</row>
    <row r="131" spans="1:15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</row>
    <row r="132" spans="1:15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spans="1:15" x14ac:dyDescent="0.25">
      <c r="A133" s="5"/>
      <c r="B133" s="5"/>
      <c r="C133" s="5"/>
      <c r="D133" s="5"/>
      <c r="E133" s="5"/>
      <c r="F133" s="5"/>
      <c r="G133" s="5"/>
      <c r="H133" s="5"/>
      <c r="I133" s="48"/>
      <c r="J133" s="48"/>
      <c r="K133" s="48"/>
      <c r="L133" s="48"/>
      <c r="M133" s="48"/>
      <c r="N133" s="48"/>
      <c r="O133" s="5"/>
    </row>
    <row r="134" spans="1:15" x14ac:dyDescent="0.25">
      <c r="A134" s="5"/>
      <c r="B134" s="5"/>
      <c r="C134" s="5"/>
      <c r="D134" s="5"/>
      <c r="E134" s="5"/>
      <c r="F134" s="5"/>
      <c r="G134" s="5"/>
      <c r="H134" s="5"/>
      <c r="I134" s="48"/>
      <c r="J134" s="48"/>
      <c r="K134" s="48"/>
      <c r="L134" s="48"/>
      <c r="M134" s="48"/>
      <c r="N134" s="48"/>
      <c r="O134" s="5"/>
    </row>
    <row r="135" spans="1:15" x14ac:dyDescent="0.25">
      <c r="A135" s="5"/>
      <c r="B135" s="48"/>
      <c r="C135" s="48"/>
      <c r="D135" s="48"/>
      <c r="E135" s="48"/>
      <c r="F135" s="48"/>
      <c r="G135" s="5"/>
      <c r="H135" s="5"/>
      <c r="I135" s="48"/>
      <c r="J135" s="48"/>
      <c r="K135" s="48"/>
      <c r="L135" s="48"/>
      <c r="M135" s="48"/>
      <c r="N135" s="48"/>
      <c r="O135" s="5"/>
    </row>
    <row r="136" spans="1:15" x14ac:dyDescent="0.25">
      <c r="A136" s="5"/>
      <c r="B136" s="48"/>
      <c r="C136" s="48"/>
      <c r="D136" s="48"/>
      <c r="E136" s="48"/>
      <c r="F136" s="48"/>
      <c r="G136" s="5"/>
      <c r="H136" s="5"/>
      <c r="I136" s="48"/>
      <c r="J136" s="48"/>
      <c r="K136" s="48"/>
      <c r="L136" s="48"/>
      <c r="M136" s="48"/>
      <c r="N136" s="48"/>
      <c r="O136" s="5"/>
    </row>
    <row r="137" spans="1:15" x14ac:dyDescent="0.25">
      <c r="A137" s="5"/>
      <c r="B137" s="48"/>
      <c r="C137" s="48"/>
      <c r="D137" s="48"/>
      <c r="E137" s="48"/>
      <c r="F137" s="48"/>
      <c r="G137" s="5"/>
      <c r="H137" s="5"/>
      <c r="O137" s="5"/>
    </row>
    <row r="138" spans="1:15" x14ac:dyDescent="0.25">
      <c r="A138" s="5"/>
      <c r="B138" s="48"/>
      <c r="C138" s="48"/>
      <c r="D138" s="48"/>
      <c r="E138" s="48"/>
      <c r="F138" s="48"/>
      <c r="G138" s="5"/>
      <c r="H138" s="5"/>
      <c r="O138" s="5"/>
    </row>
    <row r="139" spans="1:15" x14ac:dyDescent="0.25">
      <c r="A139" s="5"/>
      <c r="G139" s="5"/>
      <c r="H139" s="5"/>
      <c r="O139" s="5"/>
    </row>
    <row r="140" spans="1:15" x14ac:dyDescent="0.25">
      <c r="A140" s="5"/>
      <c r="G140" s="5"/>
      <c r="H140" s="5"/>
      <c r="O140" s="5"/>
    </row>
    <row r="141" spans="1:15" x14ac:dyDescent="0.25">
      <c r="A141" s="5"/>
      <c r="G141" s="5"/>
      <c r="H141" s="5"/>
      <c r="O141" s="5"/>
    </row>
    <row r="142" spans="1:15" x14ac:dyDescent="0.25">
      <c r="A142" s="5"/>
      <c r="G142" s="5"/>
      <c r="H142" s="5"/>
      <c r="O142" s="5"/>
    </row>
    <row r="143" spans="1:15" x14ac:dyDescent="0.25">
      <c r="A143" s="5"/>
      <c r="G143" s="5"/>
      <c r="H143" s="5"/>
      <c r="O143" s="5"/>
    </row>
    <row r="144" spans="1:15" x14ac:dyDescent="0.25">
      <c r="A144" s="5"/>
      <c r="G144" s="5"/>
      <c r="H144" s="5"/>
      <c r="O144" s="5"/>
    </row>
    <row r="145" spans="1:15" x14ac:dyDescent="0.25">
      <c r="A145" s="5"/>
      <c r="G145" s="48"/>
      <c r="H145" s="5"/>
      <c r="O145" s="5"/>
    </row>
    <row r="146" spans="1:15" x14ac:dyDescent="0.25">
      <c r="A146" s="5"/>
      <c r="G146" s="48"/>
      <c r="H146" s="5"/>
      <c r="O146" s="5"/>
    </row>
    <row r="147" spans="1:15" x14ac:dyDescent="0.25">
      <c r="A147" s="5"/>
      <c r="G147" s="48"/>
      <c r="H147" s="5"/>
      <c r="O147" s="5"/>
    </row>
    <row r="148" spans="1:15" x14ac:dyDescent="0.25">
      <c r="A148" s="48"/>
      <c r="G148" s="48"/>
      <c r="H148" s="48"/>
      <c r="O148" s="48"/>
    </row>
    <row r="149" spans="1:15" x14ac:dyDescent="0.25">
      <c r="A149" s="48"/>
      <c r="H149" s="48"/>
      <c r="O149" s="48"/>
    </row>
    <row r="150" spans="1:15" x14ac:dyDescent="0.25">
      <c r="A150" s="48"/>
      <c r="H150" s="48"/>
      <c r="O150" s="48"/>
    </row>
    <row r="151" spans="1:15" x14ac:dyDescent="0.25">
      <c r="A151" s="48"/>
      <c r="H151" s="48"/>
      <c r="O151" s="48"/>
    </row>
  </sheetData>
  <sheetProtection formatCells="0" formatColumns="0" formatRows="0" insertColumns="0" insertRows="0" insertHyperlinks="0" deleteColumns="0" deleteRows="0" sort="0" autoFilter="0" pivotTables="0"/>
  <mergeCells count="112">
    <mergeCell ref="B56:F56"/>
    <mergeCell ref="R92:S92"/>
    <mergeCell ref="P52:S52"/>
    <mergeCell ref="P81:U81"/>
    <mergeCell ref="I74:N74"/>
    <mergeCell ref="I81:N81"/>
    <mergeCell ref="B74:G75"/>
    <mergeCell ref="A85:C85"/>
    <mergeCell ref="D85:E85"/>
    <mergeCell ref="F85:G85"/>
    <mergeCell ref="B87:D87"/>
    <mergeCell ref="A83:C83"/>
    <mergeCell ref="D83:E83"/>
    <mergeCell ref="F83:G83"/>
    <mergeCell ref="A84:C84"/>
    <mergeCell ref="D84:E84"/>
    <mergeCell ref="F84:G84"/>
    <mergeCell ref="A81:C81"/>
    <mergeCell ref="D81:E81"/>
    <mergeCell ref="F81:G81"/>
    <mergeCell ref="A82:C82"/>
    <mergeCell ref="D82:E82"/>
    <mergeCell ref="F82:G82"/>
    <mergeCell ref="A79:C79"/>
    <mergeCell ref="D79:E79"/>
    <mergeCell ref="F79:G79"/>
    <mergeCell ref="A80:C80"/>
    <mergeCell ref="D80:E80"/>
    <mergeCell ref="F80:G80"/>
    <mergeCell ref="A77:C77"/>
    <mergeCell ref="D77:E77"/>
    <mergeCell ref="F77:G77"/>
    <mergeCell ref="A78:C78"/>
    <mergeCell ref="D78:E78"/>
    <mergeCell ref="F78:G78"/>
    <mergeCell ref="B70:F70"/>
    <mergeCell ref="A71:G71"/>
    <mergeCell ref="A72:G72"/>
    <mergeCell ref="A76:C76"/>
    <mergeCell ref="D76:E76"/>
    <mergeCell ref="F76:G76"/>
    <mergeCell ref="J62:J64"/>
    <mergeCell ref="M62:M64"/>
    <mergeCell ref="N62:N64"/>
    <mergeCell ref="O62:O64"/>
    <mergeCell ref="H63:H64"/>
    <mergeCell ref="I63:I64"/>
    <mergeCell ref="A57:G57"/>
    <mergeCell ref="A58:G58"/>
    <mergeCell ref="A61:O61"/>
    <mergeCell ref="A62:A64"/>
    <mergeCell ref="B62:C63"/>
    <mergeCell ref="D62:D64"/>
    <mergeCell ref="E62:E64"/>
    <mergeCell ref="F62:F64"/>
    <mergeCell ref="G62:G64"/>
    <mergeCell ref="H62:I62"/>
    <mergeCell ref="M49:M51"/>
    <mergeCell ref="N49:N51"/>
    <mergeCell ref="O49:O51"/>
    <mergeCell ref="H50:H51"/>
    <mergeCell ref="I50:I51"/>
    <mergeCell ref="A46:G46"/>
    <mergeCell ref="A48:M48"/>
    <mergeCell ref="A49:A51"/>
    <mergeCell ref="B49:C50"/>
    <mergeCell ref="D49:D51"/>
    <mergeCell ref="E49:E51"/>
    <mergeCell ref="F49:F51"/>
    <mergeCell ref="G49:G51"/>
    <mergeCell ref="H49:I49"/>
    <mergeCell ref="J49:J51"/>
    <mergeCell ref="N29:N31"/>
    <mergeCell ref="O29:O31"/>
    <mergeCell ref="H30:H31"/>
    <mergeCell ref="I30:I31"/>
    <mergeCell ref="B44:F44"/>
    <mergeCell ref="A45:G45"/>
    <mergeCell ref="A28:M28"/>
    <mergeCell ref="A29:A31"/>
    <mergeCell ref="B29:C30"/>
    <mergeCell ref="D29:D31"/>
    <mergeCell ref="E29:E31"/>
    <mergeCell ref="F29:F31"/>
    <mergeCell ref="G29:G31"/>
    <mergeCell ref="H29:I29"/>
    <mergeCell ref="J29:J31"/>
    <mergeCell ref="M29:M31"/>
    <mergeCell ref="P75:U75"/>
    <mergeCell ref="I88:N88"/>
    <mergeCell ref="A1:O1"/>
    <mergeCell ref="A3:O3"/>
    <mergeCell ref="A4:O4"/>
    <mergeCell ref="A6:O6"/>
    <mergeCell ref="A8:N9"/>
    <mergeCell ref="A11:N11"/>
    <mergeCell ref="N15:N17"/>
    <mergeCell ref="O15:O17"/>
    <mergeCell ref="I16:I17"/>
    <mergeCell ref="B24:F24"/>
    <mergeCell ref="A25:G25"/>
    <mergeCell ref="A26:G26"/>
    <mergeCell ref="A14:O14"/>
    <mergeCell ref="A15:A17"/>
    <mergeCell ref="B15:C16"/>
    <mergeCell ref="D15:D17"/>
    <mergeCell ref="E15:E17"/>
    <mergeCell ref="F15:F17"/>
    <mergeCell ref="G15:G17"/>
    <mergeCell ref="H15:I15"/>
    <mergeCell ref="J15:J17"/>
    <mergeCell ref="M15:M17"/>
  </mergeCells>
  <phoneticPr fontId="18" type="noConversion"/>
  <conditionalFormatting sqref="J77:M79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{498F7C59-82BC-4D10-A0C1-223D94363B8F}</x14:id>
        </ext>
      </extLst>
    </cfRule>
  </conditionalFormatting>
  <conditionalFormatting sqref="J90:M95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{CD1D7F94-9494-4CEC-9951-D55B0D23C490}</x14:id>
        </ext>
      </extLst>
    </cfRule>
  </conditionalFormatting>
  <conditionalFormatting sqref="J77:N79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{6031229A-5421-47D8-A94C-C2B3E3DA5882}</x14:id>
        </ext>
      </extLst>
    </cfRule>
    <cfRule type="colorScale" priority="5">
      <colorScale>
        <cfvo type="min"/>
        <cfvo type="max"/>
        <color rgb="FFFCFCFF"/>
        <color rgb="FF63BE7B"/>
      </colorScale>
    </cfRule>
    <cfRule type="top10" dxfId="3" priority="6" rank="5"/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3:N85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{162BCC51-6DCA-43EE-917C-2E1CBB63C66B}</x14:id>
        </ext>
      </extLst>
    </cfRule>
  </conditionalFormatting>
  <conditionalFormatting sqref="J90:N95">
    <cfRule type="colorScale" priority="1">
      <colorScale>
        <cfvo type="min"/>
        <cfvo type="max"/>
        <color rgb="FFFCFCFF"/>
        <color rgb="FF63BE7B"/>
      </colorScale>
    </cfRule>
  </conditionalFormatting>
  <conditionalFormatting sqref="K78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{4CD5231F-53A6-411A-A279-BFE368AD565B}</x14:id>
        </ext>
      </extLst>
    </cfRule>
  </conditionalFormatting>
  <conditionalFormatting sqref="Q77:T79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{1C4092DD-7F0E-4469-BBA3-0650B30A62AA}</x14:id>
        </ext>
      </extLst>
    </cfRule>
  </conditionalFormatting>
  <conditionalFormatting sqref="Q83:T88">
    <cfRule type="dataBar" priority="3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{2A56D406-7169-438F-9B55-C03BDA56096C}</x14:id>
        </ext>
      </extLst>
    </cfRule>
  </conditionalFormatting>
  <conditionalFormatting sqref="Q89:U89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scale="45" fitToHeight="0" orientation="landscape" r:id="rId1"/>
  <rowBreaks count="2" manualBreakCount="2">
    <brk id="46" max="16383" man="1"/>
    <brk id="72" max="16383" man="1"/>
  </row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98F7C59-82BC-4D10-A0C1-223D94363B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J77:M79</xm:sqref>
        </x14:conditionalFormatting>
        <x14:conditionalFormatting xmlns:xm="http://schemas.microsoft.com/office/excel/2006/main">
          <x14:cfRule type="dataBar" id="{CD1D7F94-9494-4CEC-9951-D55B0D23C49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J90:M95</xm:sqref>
        </x14:conditionalFormatting>
        <x14:conditionalFormatting xmlns:xm="http://schemas.microsoft.com/office/excel/2006/main">
          <x14:cfRule type="dataBar" id="{6031229A-5421-47D8-A94C-C2B3E3DA588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J77:N79</xm:sqref>
        </x14:conditionalFormatting>
        <x14:conditionalFormatting xmlns:xm="http://schemas.microsoft.com/office/excel/2006/main">
          <x14:cfRule type="dataBar" id="{162BCC51-6DCA-43EE-917C-2E1CBB63C66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J83:N85</xm:sqref>
        </x14:conditionalFormatting>
        <x14:conditionalFormatting xmlns:xm="http://schemas.microsoft.com/office/excel/2006/main">
          <x14:cfRule type="dataBar" id="{4CD5231F-53A6-411A-A279-BFE368AD565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K78</xm:sqref>
        </x14:conditionalFormatting>
        <x14:conditionalFormatting xmlns:xm="http://schemas.microsoft.com/office/excel/2006/main">
          <x14:cfRule type="dataBar" id="{1C4092DD-7F0E-4469-BBA3-0650B30A62A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Q77:T79</xm:sqref>
        </x14:conditionalFormatting>
        <x14:conditionalFormatting xmlns:xm="http://schemas.microsoft.com/office/excel/2006/main">
          <x14:cfRule type="dataBar" id="{2A56D406-7169-438F-9B55-C03BDA56096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Q83:T88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89B9C-847C-4B15-A2DE-348996A2F79D}">
  <dimension ref="A1:V148"/>
  <sheetViews>
    <sheetView topLeftCell="A60" zoomScale="70" zoomScaleNormal="70" zoomScaleSheetLayoutView="70" workbookViewId="0">
      <selection activeCell="F77" sqref="F77:G77"/>
    </sheetView>
  </sheetViews>
  <sheetFormatPr baseColWidth="10" defaultColWidth="11.42578125" defaultRowHeight="15.75" x14ac:dyDescent="0.25"/>
  <cols>
    <col min="1" max="1" width="5.42578125" style="404" customWidth="1"/>
    <col min="2" max="2" width="19.28515625" style="404" customWidth="1"/>
    <col min="3" max="3" width="44.28515625" style="404" customWidth="1"/>
    <col min="4" max="4" width="19.140625" style="404" customWidth="1"/>
    <col min="5" max="5" width="17.140625" style="404" customWidth="1"/>
    <col min="6" max="6" width="20.140625" style="404" customWidth="1"/>
    <col min="7" max="7" width="15.7109375" style="404" customWidth="1"/>
    <col min="8" max="8" width="14.28515625" style="404" customWidth="1"/>
    <col min="9" max="9" width="18" style="404" customWidth="1"/>
    <col min="10" max="10" width="20" style="413" customWidth="1"/>
    <col min="11" max="11" width="18" style="404" customWidth="1"/>
    <col min="12" max="12" width="20.42578125" style="404" customWidth="1"/>
    <col min="13" max="13" width="19.7109375" style="404" customWidth="1"/>
    <col min="14" max="14" width="19.85546875" style="404" customWidth="1"/>
    <col min="15" max="15" width="17.7109375" style="404" customWidth="1"/>
    <col min="16" max="16" width="22.85546875" style="517" customWidth="1"/>
    <col min="17" max="17" width="16.5703125" style="404" customWidth="1"/>
    <col min="18" max="18" width="15" style="404" customWidth="1"/>
    <col min="19" max="19" width="17" style="404" customWidth="1"/>
    <col min="20" max="20" width="17.28515625" style="404" customWidth="1"/>
    <col min="21" max="21" width="17.5703125" style="404" customWidth="1"/>
    <col min="22" max="16384" width="11.42578125" style="404"/>
  </cols>
  <sheetData>
    <row r="1" spans="1:22" x14ac:dyDescent="0.25">
      <c r="A1" s="727" t="s">
        <v>0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284"/>
      <c r="Q1" s="197"/>
      <c r="R1" s="197"/>
      <c r="S1" s="197"/>
      <c r="T1" s="197"/>
      <c r="U1" s="197"/>
      <c r="V1" s="197"/>
    </row>
    <row r="2" spans="1:22" ht="6.75" customHeight="1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284"/>
      <c r="Q2" s="197"/>
      <c r="R2" s="197"/>
      <c r="S2" s="197"/>
      <c r="T2" s="197"/>
      <c r="U2" s="197"/>
      <c r="V2" s="197"/>
    </row>
    <row r="3" spans="1:22" x14ac:dyDescent="0.25">
      <c r="A3" s="653" t="s">
        <v>1</v>
      </c>
      <c r="B3" s="653"/>
      <c r="C3" s="653"/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653"/>
      <c r="P3" s="284"/>
      <c r="Q3" s="197"/>
      <c r="R3" s="197"/>
      <c r="S3" s="197"/>
      <c r="T3" s="197"/>
      <c r="U3" s="197"/>
      <c r="V3" s="197"/>
    </row>
    <row r="4" spans="1:22" x14ac:dyDescent="0.25">
      <c r="A4" s="653" t="s">
        <v>2</v>
      </c>
      <c r="B4" s="653"/>
      <c r="C4" s="653"/>
      <c r="D4" s="653"/>
      <c r="E4" s="653"/>
      <c r="F4" s="653"/>
      <c r="G4" s="653"/>
      <c r="H4" s="653"/>
      <c r="I4" s="653"/>
      <c r="J4" s="653"/>
      <c r="K4" s="653"/>
      <c r="L4" s="653"/>
      <c r="M4" s="653"/>
      <c r="N4" s="653"/>
      <c r="O4" s="653"/>
      <c r="P4" s="284"/>
      <c r="Q4" s="197"/>
      <c r="R4" s="197"/>
      <c r="S4" s="197"/>
      <c r="T4" s="197"/>
      <c r="U4" s="197"/>
      <c r="V4" s="197"/>
    </row>
    <row r="5" spans="1:22" ht="6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84"/>
      <c r="Q5" s="197"/>
      <c r="R5" s="197"/>
      <c r="S5" s="197"/>
      <c r="T5" s="197"/>
      <c r="U5" s="197"/>
      <c r="V5" s="197"/>
    </row>
    <row r="6" spans="1:22" x14ac:dyDescent="0.25">
      <c r="A6" s="653" t="s">
        <v>3</v>
      </c>
      <c r="B6" s="653"/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3"/>
      <c r="O6" s="653"/>
      <c r="P6" s="284"/>
      <c r="Q6" s="197"/>
      <c r="R6" s="197"/>
      <c r="S6" s="197"/>
      <c r="T6" s="197"/>
      <c r="U6" s="197"/>
      <c r="V6" s="197"/>
    </row>
    <row r="7" spans="1:22" ht="8.2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84"/>
      <c r="Q7" s="197"/>
      <c r="R7" s="197"/>
      <c r="S7" s="197"/>
      <c r="T7" s="197"/>
      <c r="U7" s="197"/>
      <c r="V7" s="197"/>
    </row>
    <row r="8" spans="1:22" ht="18" customHeight="1" x14ac:dyDescent="0.25">
      <c r="A8" s="728" t="s">
        <v>4</v>
      </c>
      <c r="B8" s="728"/>
      <c r="C8" s="728"/>
      <c r="D8" s="728"/>
      <c r="E8" s="728"/>
      <c r="F8" s="728"/>
      <c r="G8" s="728"/>
      <c r="H8" s="728"/>
      <c r="I8" s="728"/>
      <c r="J8" s="728"/>
      <c r="K8" s="728"/>
      <c r="L8" s="728"/>
      <c r="M8" s="728"/>
      <c r="N8" s="728"/>
      <c r="O8" s="198"/>
      <c r="P8" s="284"/>
      <c r="Q8" s="197"/>
      <c r="R8" s="197"/>
      <c r="S8" s="197"/>
      <c r="T8" s="197"/>
      <c r="U8" s="197"/>
      <c r="V8" s="197"/>
    </row>
    <row r="9" spans="1:22" ht="18" customHeight="1" x14ac:dyDescent="0.25">
      <c r="A9" s="728"/>
      <c r="B9" s="728"/>
      <c r="C9" s="728"/>
      <c r="D9" s="728"/>
      <c r="E9" s="728"/>
      <c r="F9" s="728"/>
      <c r="G9" s="728"/>
      <c r="H9" s="728"/>
      <c r="I9" s="728"/>
      <c r="J9" s="728"/>
      <c r="K9" s="728"/>
      <c r="L9" s="728"/>
      <c r="M9" s="728"/>
      <c r="N9" s="728"/>
      <c r="O9" s="198"/>
      <c r="P9" s="284"/>
      <c r="Q9" s="197"/>
      <c r="R9" s="197"/>
      <c r="S9" s="197"/>
      <c r="T9" s="197"/>
      <c r="U9" s="197"/>
      <c r="V9" s="197"/>
    </row>
    <row r="10" spans="1:22" ht="18" customHeight="1" x14ac:dyDescent="0.25">
      <c r="A10" s="198"/>
      <c r="B10" s="198"/>
      <c r="C10" s="198"/>
      <c r="D10" s="198"/>
      <c r="E10" s="198"/>
      <c r="F10" s="198"/>
      <c r="G10" s="405"/>
      <c r="H10" s="198"/>
      <c r="I10" s="198"/>
      <c r="J10" s="198"/>
      <c r="K10" s="198"/>
      <c r="L10" s="198"/>
      <c r="M10" s="198"/>
      <c r="N10" s="405"/>
      <c r="O10" s="198"/>
      <c r="P10" s="284"/>
      <c r="Q10" s="197"/>
      <c r="R10" s="197"/>
      <c r="S10" s="197"/>
      <c r="T10" s="197"/>
      <c r="U10" s="197"/>
      <c r="V10" s="197"/>
    </row>
    <row r="11" spans="1:22" ht="18" customHeight="1" x14ac:dyDescent="0.25">
      <c r="A11" s="729" t="s">
        <v>148</v>
      </c>
      <c r="B11" s="729"/>
      <c r="C11" s="729"/>
      <c r="D11" s="729"/>
      <c r="E11" s="729"/>
      <c r="F11" s="729"/>
      <c r="G11" s="729"/>
      <c r="H11" s="729"/>
      <c r="I11" s="729"/>
      <c r="J11" s="729"/>
      <c r="K11" s="729"/>
      <c r="L11" s="729"/>
      <c r="M11" s="729"/>
      <c r="N11" s="729"/>
      <c r="O11" s="729"/>
      <c r="P11" s="284"/>
      <c r="Q11" s="197"/>
      <c r="R11" s="197"/>
      <c r="S11" s="197"/>
      <c r="T11" s="197"/>
      <c r="U11" s="197"/>
      <c r="V11" s="197"/>
    </row>
    <row r="12" spans="1:22" x14ac:dyDescent="0.25">
      <c r="A12" s="201"/>
      <c r="B12" s="201"/>
      <c r="C12" s="201"/>
      <c r="D12" s="201"/>
      <c r="E12" s="201"/>
      <c r="F12" s="201"/>
      <c r="G12" s="201"/>
      <c r="H12" s="201"/>
      <c r="I12" s="201"/>
      <c r="J12" s="356"/>
      <c r="K12" s="201"/>
      <c r="L12" s="201"/>
      <c r="M12" s="201"/>
      <c r="N12" s="201"/>
      <c r="O12" s="201"/>
      <c r="P12" s="284"/>
      <c r="Q12" s="197"/>
      <c r="R12" s="197"/>
      <c r="S12" s="197"/>
      <c r="T12" s="197"/>
      <c r="U12" s="197"/>
      <c r="V12" s="197"/>
    </row>
    <row r="13" spans="1:22" x14ac:dyDescent="0.25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1"/>
      <c r="P13" s="284"/>
      <c r="Q13" s="197"/>
      <c r="R13" s="197"/>
      <c r="S13" s="197"/>
      <c r="T13" s="197"/>
      <c r="U13" s="197"/>
      <c r="V13" s="197"/>
    </row>
    <row r="14" spans="1:22" ht="15.75" customHeight="1" thickBot="1" x14ac:dyDescent="0.3">
      <c r="A14" s="741" t="s">
        <v>5</v>
      </c>
      <c r="B14" s="741"/>
      <c r="C14" s="741"/>
      <c r="D14" s="741"/>
      <c r="E14" s="741"/>
      <c r="F14" s="741"/>
      <c r="G14" s="741"/>
      <c r="H14" s="741"/>
      <c r="I14" s="741"/>
      <c r="J14" s="741"/>
      <c r="K14" s="741"/>
      <c r="L14" s="741"/>
      <c r="M14" s="741"/>
      <c r="N14" s="741"/>
      <c r="O14" s="741"/>
      <c r="P14" s="284"/>
      <c r="Q14" s="197"/>
      <c r="R14" s="197"/>
      <c r="S14" s="197"/>
      <c r="T14" s="197"/>
      <c r="U14" s="197"/>
      <c r="V14" s="197"/>
    </row>
    <row r="15" spans="1:22" ht="27" customHeight="1" thickBot="1" x14ac:dyDescent="0.3">
      <c r="A15" s="742" t="s">
        <v>6</v>
      </c>
      <c r="B15" s="744" t="s">
        <v>7</v>
      </c>
      <c r="C15" s="745"/>
      <c r="D15" s="733" t="s">
        <v>8</v>
      </c>
      <c r="E15" s="733" t="s">
        <v>9</v>
      </c>
      <c r="F15" s="733" t="s">
        <v>10</v>
      </c>
      <c r="G15" s="733" t="s">
        <v>224</v>
      </c>
      <c r="H15" s="744" t="s">
        <v>12</v>
      </c>
      <c r="I15" s="745"/>
      <c r="J15" s="733" t="s">
        <v>59</v>
      </c>
      <c r="K15" s="203"/>
      <c r="L15" s="203"/>
      <c r="M15" s="733" t="s">
        <v>13</v>
      </c>
      <c r="N15" s="733" t="s">
        <v>14</v>
      </c>
      <c r="O15" s="735" t="s">
        <v>15</v>
      </c>
      <c r="P15" s="284"/>
      <c r="Q15" s="197"/>
      <c r="R15" s="197"/>
      <c r="S15" s="197"/>
      <c r="T15" s="197"/>
      <c r="U15" s="197"/>
      <c r="V15" s="197"/>
    </row>
    <row r="16" spans="1:22" ht="5.25" customHeight="1" thickBot="1" x14ac:dyDescent="0.3">
      <c r="A16" s="743"/>
      <c r="B16" s="746"/>
      <c r="C16" s="747"/>
      <c r="D16" s="734"/>
      <c r="E16" s="734"/>
      <c r="F16" s="734"/>
      <c r="G16" s="748"/>
      <c r="H16" s="206" t="s">
        <v>16</v>
      </c>
      <c r="I16" s="733" t="s">
        <v>17</v>
      </c>
      <c r="J16" s="749"/>
      <c r="K16" s="207"/>
      <c r="L16" s="207"/>
      <c r="M16" s="749"/>
      <c r="N16" s="734"/>
      <c r="O16" s="736"/>
      <c r="P16" s="284"/>
      <c r="Q16" s="197"/>
      <c r="R16" s="197"/>
      <c r="S16" s="197"/>
      <c r="T16" s="197"/>
      <c r="U16" s="197"/>
      <c r="V16" s="197"/>
    </row>
    <row r="17" spans="1:22" ht="46.5" customHeight="1" thickBot="1" x14ac:dyDescent="0.3">
      <c r="A17" s="743"/>
      <c r="B17" s="203" t="s">
        <v>18</v>
      </c>
      <c r="C17" s="403" t="s">
        <v>19</v>
      </c>
      <c r="D17" s="734"/>
      <c r="E17" s="734"/>
      <c r="F17" s="734"/>
      <c r="G17" s="748"/>
      <c r="H17" s="406" t="s">
        <v>20</v>
      </c>
      <c r="I17" s="734"/>
      <c r="J17" s="749"/>
      <c r="K17" s="205" t="s">
        <v>21</v>
      </c>
      <c r="L17" s="205" t="s">
        <v>22</v>
      </c>
      <c r="M17" s="749"/>
      <c r="N17" s="734"/>
      <c r="O17" s="737"/>
      <c r="P17" s="407"/>
      <c r="Q17" s="408"/>
      <c r="R17" s="409"/>
      <c r="S17" s="410"/>
      <c r="T17" s="197"/>
      <c r="U17" s="197"/>
      <c r="V17" s="197"/>
    </row>
    <row r="18" spans="1:22" ht="87" customHeight="1" x14ac:dyDescent="0.25">
      <c r="A18" s="533">
        <v>1</v>
      </c>
      <c r="B18" s="219"/>
      <c r="C18" s="390" t="s">
        <v>246</v>
      </c>
      <c r="D18" s="220" t="s">
        <v>242</v>
      </c>
      <c r="E18" s="251">
        <v>45597</v>
      </c>
      <c r="F18" s="302" t="s">
        <v>232</v>
      </c>
      <c r="G18" s="222">
        <v>8</v>
      </c>
      <c r="H18" s="251"/>
      <c r="I18" s="251"/>
      <c r="J18" s="223">
        <f>600000/2</f>
        <v>300000</v>
      </c>
      <c r="K18" s="223">
        <v>3500</v>
      </c>
      <c r="L18" s="223">
        <v>6037.5</v>
      </c>
      <c r="M18" s="223" t="s">
        <v>16</v>
      </c>
      <c r="N18" s="223"/>
      <c r="O18" s="223">
        <f>SUM(M18:N18)</f>
        <v>0</v>
      </c>
      <c r="P18" s="217"/>
      <c r="Q18" s="197"/>
      <c r="R18" s="197"/>
      <c r="S18" s="197"/>
      <c r="T18" s="197"/>
      <c r="U18" s="197"/>
    </row>
    <row r="19" spans="1:22" s="413" customFormat="1" ht="85.5" customHeight="1" x14ac:dyDescent="0.25">
      <c r="A19" s="534">
        <v>1</v>
      </c>
      <c r="B19" s="49" t="s">
        <v>240</v>
      </c>
      <c r="C19" s="390" t="s">
        <v>228</v>
      </c>
      <c r="D19" s="221" t="s">
        <v>242</v>
      </c>
      <c r="E19" s="194" t="s">
        <v>229</v>
      </c>
      <c r="F19" s="194" t="s">
        <v>230</v>
      </c>
      <c r="G19" s="222">
        <v>8</v>
      </c>
      <c r="H19" s="257"/>
      <c r="I19" s="257"/>
      <c r="J19" s="224">
        <v>280000</v>
      </c>
      <c r="K19" s="224">
        <v>2600</v>
      </c>
      <c r="L19" s="224">
        <v>7303.21</v>
      </c>
      <c r="M19" s="223"/>
      <c r="N19" s="223">
        <v>11215.12</v>
      </c>
      <c r="O19" s="223">
        <f t="shared" ref="O19:O25" si="0">M19+N19</f>
        <v>11215.12</v>
      </c>
      <c r="P19" s="412"/>
      <c r="Q19" s="356"/>
      <c r="R19" s="356"/>
      <c r="S19" s="356"/>
      <c r="T19" s="356"/>
      <c r="U19" s="356"/>
    </row>
    <row r="20" spans="1:22" s="413" customFormat="1" ht="63" x14ac:dyDescent="0.25">
      <c r="A20" s="534">
        <v>0</v>
      </c>
      <c r="B20" s="411"/>
      <c r="C20" s="390" t="s">
        <v>231</v>
      </c>
      <c r="D20" s="221" t="s">
        <v>242</v>
      </c>
      <c r="E20" s="194">
        <v>45604</v>
      </c>
      <c r="F20" s="221" t="s">
        <v>230</v>
      </c>
      <c r="G20" s="222">
        <v>8</v>
      </c>
      <c r="H20" s="257"/>
      <c r="I20" s="257"/>
      <c r="J20" s="227">
        <v>650000</v>
      </c>
      <c r="K20" s="224">
        <v>2600</v>
      </c>
      <c r="L20" s="224">
        <v>7303.21</v>
      </c>
      <c r="M20" s="223"/>
      <c r="N20" s="223"/>
      <c r="O20" s="223">
        <f t="shared" si="0"/>
        <v>0</v>
      </c>
      <c r="P20" s="412"/>
      <c r="Q20" s="356"/>
      <c r="R20" s="356"/>
      <c r="S20" s="356"/>
      <c r="T20" s="356"/>
      <c r="U20" s="356"/>
    </row>
    <row r="21" spans="1:22" s="413" customFormat="1" ht="94.5" x14ac:dyDescent="0.25">
      <c r="A21" s="534">
        <v>1</v>
      </c>
      <c r="B21" s="411"/>
      <c r="C21" s="390" t="s">
        <v>247</v>
      </c>
      <c r="D21" s="221" t="s">
        <v>242</v>
      </c>
      <c r="E21" s="531" t="s">
        <v>238</v>
      </c>
      <c r="F21" s="302" t="s">
        <v>232</v>
      </c>
      <c r="G21" s="281">
        <v>8</v>
      </c>
      <c r="H21" s="222"/>
      <c r="I21" s="257"/>
      <c r="J21" s="227"/>
      <c r="K21" s="305">
        <v>3500</v>
      </c>
      <c r="L21" s="305">
        <v>7087.5</v>
      </c>
      <c r="M21" s="282">
        <v>66499.649999999994</v>
      </c>
      <c r="N21" s="282"/>
      <c r="O21" s="223">
        <f t="shared" si="0"/>
        <v>66499.649999999994</v>
      </c>
      <c r="P21" s="412"/>
      <c r="Q21" s="356"/>
      <c r="R21" s="356"/>
      <c r="S21" s="356"/>
      <c r="T21" s="356"/>
      <c r="U21" s="356"/>
    </row>
    <row r="22" spans="1:22" s="413" customFormat="1" ht="110.25" x14ac:dyDescent="0.25">
      <c r="A22" s="218">
        <v>1</v>
      </c>
      <c r="B22" s="411" t="s">
        <v>62</v>
      </c>
      <c r="C22" s="567" t="s">
        <v>233</v>
      </c>
      <c r="D22" s="221" t="s">
        <v>242</v>
      </c>
      <c r="E22" s="194" t="s">
        <v>239</v>
      </c>
      <c r="F22" s="49" t="s">
        <v>234</v>
      </c>
      <c r="G22" s="222">
        <v>8</v>
      </c>
      <c r="H22" s="222"/>
      <c r="I22" s="257"/>
      <c r="J22" s="538"/>
      <c r="K22" s="51">
        <v>2600</v>
      </c>
      <c r="L22" s="51">
        <v>6250</v>
      </c>
      <c r="M22" s="148"/>
      <c r="N22" s="51">
        <v>10414.040000000001</v>
      </c>
      <c r="O22" s="539">
        <f t="shared" si="0"/>
        <v>10414.040000000001</v>
      </c>
      <c r="P22" s="412"/>
      <c r="Q22" s="356"/>
      <c r="R22" s="356"/>
      <c r="S22" s="356"/>
      <c r="T22" s="356"/>
      <c r="U22" s="356"/>
    </row>
    <row r="23" spans="1:22" s="413" customFormat="1" ht="94.5" x14ac:dyDescent="0.25">
      <c r="A23" s="218">
        <v>0</v>
      </c>
      <c r="B23" s="411" t="s">
        <v>173</v>
      </c>
      <c r="C23" s="192" t="s">
        <v>235</v>
      </c>
      <c r="D23" s="221" t="s">
        <v>242</v>
      </c>
      <c r="E23" s="532">
        <v>45617</v>
      </c>
      <c r="F23" s="422" t="s">
        <v>236</v>
      </c>
      <c r="G23" s="214">
        <v>8</v>
      </c>
      <c r="H23" s="222"/>
      <c r="I23" s="257"/>
      <c r="J23" s="538"/>
      <c r="K23" s="51">
        <v>2600</v>
      </c>
      <c r="L23" s="51">
        <v>6250</v>
      </c>
      <c r="M23" s="148"/>
      <c r="N23" s="215">
        <v>11215.12</v>
      </c>
      <c r="O23" s="539">
        <f t="shared" si="0"/>
        <v>11215.12</v>
      </c>
      <c r="P23" s="412"/>
      <c r="Q23" s="356"/>
      <c r="R23" s="356"/>
      <c r="S23" s="356"/>
      <c r="T23" s="356"/>
      <c r="U23" s="356"/>
    </row>
    <row r="24" spans="1:22" s="413" customFormat="1" ht="95.25" thickBot="1" x14ac:dyDescent="0.3">
      <c r="A24" s="218">
        <v>1</v>
      </c>
      <c r="B24" s="411" t="s">
        <v>241</v>
      </c>
      <c r="C24" s="192" t="s">
        <v>237</v>
      </c>
      <c r="D24" s="221" t="s">
        <v>242</v>
      </c>
      <c r="E24" s="415">
        <v>45618</v>
      </c>
      <c r="F24" s="302" t="s">
        <v>232</v>
      </c>
      <c r="G24" s="416">
        <v>8</v>
      </c>
      <c r="H24" s="222"/>
      <c r="I24" s="257"/>
      <c r="J24" s="227"/>
      <c r="K24" s="216">
        <v>3500</v>
      </c>
      <c r="L24" s="216">
        <v>2887.5</v>
      </c>
      <c r="M24" s="215"/>
      <c r="N24" s="215">
        <v>11215.12</v>
      </c>
      <c r="O24" s="223">
        <f t="shared" si="0"/>
        <v>11215.12</v>
      </c>
      <c r="P24" s="412"/>
      <c r="Q24" s="356"/>
      <c r="R24" s="356"/>
      <c r="S24" s="356"/>
      <c r="T24" s="356"/>
      <c r="U24" s="356"/>
    </row>
    <row r="25" spans="1:22" ht="32.25" hidden="1" thickBot="1" x14ac:dyDescent="0.3">
      <c r="A25" s="218">
        <v>0</v>
      </c>
      <c r="B25" s="411" t="s">
        <v>62</v>
      </c>
      <c r="C25" s="192"/>
      <c r="D25" s="221" t="s">
        <v>23</v>
      </c>
      <c r="E25" s="414"/>
      <c r="F25" s="221"/>
      <c r="G25" s="222"/>
      <c r="H25" s="257"/>
      <c r="I25" s="257"/>
      <c r="J25" s="227"/>
      <c r="K25" s="224"/>
      <c r="L25" s="224"/>
      <c r="M25" s="223"/>
      <c r="N25" s="223"/>
      <c r="O25" s="223">
        <f t="shared" si="0"/>
        <v>0</v>
      </c>
      <c r="P25" s="230"/>
      <c r="Q25" s="417"/>
      <c r="R25" s="230">
        <f>P25+Q25</f>
        <v>0</v>
      </c>
      <c r="S25" s="197"/>
      <c r="T25" s="197"/>
      <c r="U25" s="197"/>
    </row>
    <row r="26" spans="1:22" ht="15.75" customHeight="1" thickBot="1" x14ac:dyDescent="0.3">
      <c r="A26" s="228">
        <f>SUM(A18:A25)</f>
        <v>5</v>
      </c>
      <c r="B26" s="738" t="s">
        <v>24</v>
      </c>
      <c r="C26" s="738"/>
      <c r="D26" s="738"/>
      <c r="E26" s="738"/>
      <c r="F26" s="738"/>
      <c r="G26" s="418">
        <f>SUM(G18:G25)</f>
        <v>56</v>
      </c>
      <c r="H26" s="229">
        <f>SUM(H18:H25)</f>
        <v>0</v>
      </c>
      <c r="I26" s="229">
        <f>SUM(I18:I25)</f>
        <v>0</v>
      </c>
      <c r="J26" s="229">
        <f t="shared" ref="J26:O26" si="1">SUM(J18:J25)</f>
        <v>1230000</v>
      </c>
      <c r="K26" s="229">
        <f t="shared" si="1"/>
        <v>20900</v>
      </c>
      <c r="L26" s="229">
        <f t="shared" si="1"/>
        <v>43118.92</v>
      </c>
      <c r="M26" s="229">
        <f t="shared" si="1"/>
        <v>66499.649999999994</v>
      </c>
      <c r="N26" s="418">
        <f t="shared" si="1"/>
        <v>44059.400000000009</v>
      </c>
      <c r="O26" s="229">
        <f t="shared" si="1"/>
        <v>110559.04999999999</v>
      </c>
      <c r="P26" s="284"/>
      <c r="Q26" s="197"/>
      <c r="R26" s="197"/>
      <c r="S26" s="197"/>
      <c r="T26" s="197"/>
      <c r="U26" s="197"/>
      <c r="V26" s="197"/>
    </row>
    <row r="27" spans="1:22" ht="16.5" thickBot="1" x14ac:dyDescent="0.3">
      <c r="A27" s="739" t="s">
        <v>25</v>
      </c>
      <c r="B27" s="740"/>
      <c r="C27" s="740"/>
      <c r="D27" s="740"/>
      <c r="E27" s="740"/>
      <c r="F27" s="740"/>
      <c r="G27" s="740"/>
      <c r="H27" s="231"/>
      <c r="I27" s="231"/>
      <c r="J27" s="232"/>
      <c r="K27" s="232"/>
      <c r="L27" s="232"/>
      <c r="M27" s="233">
        <v>0</v>
      </c>
      <c r="N27" s="419">
        <f>N26*-0.1</f>
        <v>-4405.9400000000014</v>
      </c>
      <c r="O27" s="233">
        <f>N27</f>
        <v>-4405.9400000000014</v>
      </c>
      <c r="P27" s="284"/>
      <c r="Q27" s="197"/>
      <c r="R27" s="197"/>
      <c r="S27" s="197"/>
      <c r="T27" s="197"/>
      <c r="U27" s="197"/>
      <c r="V27" s="197"/>
    </row>
    <row r="28" spans="1:22" ht="16.5" customHeight="1" thickBot="1" x14ac:dyDescent="0.3">
      <c r="A28" s="738" t="s">
        <v>26</v>
      </c>
      <c r="B28" s="738"/>
      <c r="C28" s="738"/>
      <c r="D28" s="738"/>
      <c r="E28" s="738"/>
      <c r="F28" s="738"/>
      <c r="G28" s="738"/>
      <c r="H28" s="234"/>
      <c r="I28" s="234"/>
      <c r="J28" s="235"/>
      <c r="K28" s="235"/>
      <c r="L28" s="235"/>
      <c r="M28" s="233">
        <f>+M26+M27</f>
        <v>66499.649999999994</v>
      </c>
      <c r="N28" s="419">
        <f>+N26+N27</f>
        <v>39653.460000000006</v>
      </c>
      <c r="O28" s="233">
        <f>+O26+O27</f>
        <v>106153.10999999999</v>
      </c>
      <c r="P28" s="284"/>
      <c r="Q28" s="197"/>
      <c r="R28" s="197"/>
      <c r="S28" s="197"/>
      <c r="T28" s="197"/>
      <c r="U28" s="197"/>
      <c r="V28" s="197"/>
    </row>
    <row r="29" spans="1:22" ht="23.25" customHeight="1" x14ac:dyDescent="0.25">
      <c r="A29" s="236"/>
      <c r="B29" s="236"/>
      <c r="C29" s="236"/>
      <c r="D29" s="236"/>
      <c r="E29" s="236"/>
      <c r="F29" s="236"/>
      <c r="G29" s="420"/>
      <c r="H29" s="237"/>
      <c r="I29" s="237"/>
      <c r="J29" s="293"/>
      <c r="K29" s="238"/>
      <c r="L29" s="238"/>
      <c r="M29" s="238"/>
      <c r="N29" s="421"/>
      <c r="O29" s="239"/>
      <c r="P29" s="284"/>
      <c r="Q29" s="398"/>
      <c r="R29" s="422"/>
      <c r="S29" s="197"/>
      <c r="T29" s="197"/>
      <c r="U29" s="197"/>
      <c r="V29" s="197"/>
    </row>
    <row r="30" spans="1:22" ht="26.25" customHeight="1" thickBot="1" x14ac:dyDescent="0.3">
      <c r="A30" s="756" t="s">
        <v>27</v>
      </c>
      <c r="B30" s="756"/>
      <c r="C30" s="756"/>
      <c r="D30" s="756"/>
      <c r="E30" s="756"/>
      <c r="F30" s="756"/>
      <c r="G30" s="756"/>
      <c r="H30" s="756"/>
      <c r="I30" s="756"/>
      <c r="J30" s="756"/>
      <c r="K30" s="756"/>
      <c r="L30" s="756"/>
      <c r="M30" s="756"/>
      <c r="N30" s="423"/>
      <c r="O30" s="424"/>
      <c r="P30" s="284"/>
      <c r="Q30" s="197"/>
      <c r="R30" s="197"/>
      <c r="S30" s="197"/>
      <c r="T30" s="197"/>
      <c r="U30" s="197"/>
      <c r="V30" s="197"/>
    </row>
    <row r="31" spans="1:22" ht="44.25" customHeight="1" thickBot="1" x14ac:dyDescent="0.3">
      <c r="A31" s="742" t="s">
        <v>6</v>
      </c>
      <c r="B31" s="744" t="s">
        <v>7</v>
      </c>
      <c r="C31" s="745"/>
      <c r="D31" s="733" t="s">
        <v>8</v>
      </c>
      <c r="E31" s="733" t="s">
        <v>9</v>
      </c>
      <c r="F31" s="733" t="s">
        <v>10</v>
      </c>
      <c r="G31" s="733" t="s">
        <v>28</v>
      </c>
      <c r="H31" s="744" t="s">
        <v>12</v>
      </c>
      <c r="I31" s="758"/>
      <c r="J31" s="733" t="s">
        <v>59</v>
      </c>
      <c r="K31" s="425" t="s">
        <v>21</v>
      </c>
      <c r="L31" s="426" t="s">
        <v>22</v>
      </c>
      <c r="M31" s="733" t="s">
        <v>13</v>
      </c>
      <c r="N31" s="733" t="s">
        <v>14</v>
      </c>
      <c r="O31" s="735" t="s">
        <v>15</v>
      </c>
      <c r="P31" s="284"/>
      <c r="Q31" s="197"/>
      <c r="R31" s="197"/>
      <c r="S31" s="197"/>
      <c r="T31" s="197"/>
      <c r="U31" s="197"/>
      <c r="V31" s="197"/>
    </row>
    <row r="32" spans="1:22" ht="5.25" customHeight="1" thickBot="1" x14ac:dyDescent="0.3">
      <c r="A32" s="743"/>
      <c r="B32" s="746"/>
      <c r="C32" s="747"/>
      <c r="D32" s="734"/>
      <c r="E32" s="734"/>
      <c r="F32" s="734"/>
      <c r="G32" s="748"/>
      <c r="H32" s="733" t="s">
        <v>20</v>
      </c>
      <c r="I32" s="744" t="s">
        <v>17</v>
      </c>
      <c r="J32" s="749"/>
      <c r="K32" s="427"/>
      <c r="L32" s="428"/>
      <c r="M32" s="749"/>
      <c r="N32" s="734"/>
      <c r="O32" s="736"/>
      <c r="P32" s="284"/>
      <c r="Q32" s="230"/>
      <c r="R32" s="197"/>
      <c r="S32" s="197"/>
      <c r="T32" s="197"/>
      <c r="U32" s="197"/>
      <c r="V32" s="197"/>
    </row>
    <row r="33" spans="1:22" ht="34.5" customHeight="1" thickBot="1" x14ac:dyDescent="0.3">
      <c r="A33" s="743"/>
      <c r="B33" s="429" t="s">
        <v>18</v>
      </c>
      <c r="C33" s="208" t="s">
        <v>19</v>
      </c>
      <c r="D33" s="753"/>
      <c r="E33" s="753"/>
      <c r="F33" s="753"/>
      <c r="G33" s="757"/>
      <c r="H33" s="734"/>
      <c r="I33" s="755"/>
      <c r="J33" s="749"/>
      <c r="K33" s="427"/>
      <c r="L33" s="428"/>
      <c r="M33" s="749"/>
      <c r="N33" s="753"/>
      <c r="O33" s="754"/>
      <c r="P33" s="284"/>
      <c r="Q33" s="217"/>
      <c r="R33" s="217"/>
      <c r="S33" s="217"/>
      <c r="T33" s="197"/>
      <c r="U33" s="197"/>
      <c r="V33" s="197"/>
    </row>
    <row r="34" spans="1:22" s="442" customFormat="1" ht="96.75" hidden="1" customHeight="1" x14ac:dyDescent="0.25">
      <c r="A34" s="430">
        <v>0</v>
      </c>
      <c r="B34" s="431" t="s">
        <v>85</v>
      </c>
      <c r="C34" s="432" t="s">
        <v>197</v>
      </c>
      <c r="D34" s="433" t="s">
        <v>29</v>
      </c>
      <c r="E34" s="433"/>
      <c r="F34" s="433" t="s">
        <v>86</v>
      </c>
      <c r="G34" s="434">
        <v>0</v>
      </c>
      <c r="H34" s="435"/>
      <c r="I34" s="435"/>
      <c r="J34" s="224">
        <v>650000</v>
      </c>
      <c r="K34" s="437"/>
      <c r="L34" s="438"/>
      <c r="M34" s="436"/>
      <c r="N34" s="439">
        <v>0</v>
      </c>
      <c r="O34" s="440">
        <f t="shared" ref="O34" si="2">SUM(M34:N34)</f>
        <v>0</v>
      </c>
      <c r="P34" s="417"/>
      <c r="Q34" s="441"/>
      <c r="R34" s="201"/>
      <c r="S34" s="201"/>
      <c r="T34" s="201"/>
      <c r="U34" s="201"/>
      <c r="V34" s="201"/>
    </row>
    <row r="35" spans="1:22" ht="132.75" customHeight="1" x14ac:dyDescent="0.25">
      <c r="A35" s="248">
        <v>1</v>
      </c>
      <c r="B35" s="443"/>
      <c r="C35" s="587" t="s">
        <v>201</v>
      </c>
      <c r="D35" s="220" t="s">
        <v>29</v>
      </c>
      <c r="E35" s="194" t="s">
        <v>220</v>
      </c>
      <c r="F35" s="221" t="s">
        <v>196</v>
      </c>
      <c r="G35" s="222">
        <v>8</v>
      </c>
      <c r="H35" s="222"/>
      <c r="I35" s="222"/>
      <c r="J35" s="223"/>
      <c r="K35" s="536">
        <f>5200*0.3</f>
        <v>1560</v>
      </c>
      <c r="L35" s="148">
        <f>+(17597.19+14250)*0.3</f>
        <v>9554.1569999999992</v>
      </c>
      <c r="M35" s="148">
        <v>13770.63</v>
      </c>
      <c r="N35" s="148">
        <v>0</v>
      </c>
      <c r="O35" s="250">
        <f>SUM(M35:N35)</f>
        <v>13770.63</v>
      </c>
      <c r="P35" s="284"/>
      <c r="Q35" s="197"/>
      <c r="R35" s="197"/>
      <c r="S35" s="197"/>
      <c r="T35" s="197"/>
      <c r="U35" s="197"/>
    </row>
    <row r="36" spans="1:22" ht="107.25" customHeight="1" x14ac:dyDescent="0.25">
      <c r="A36" s="248">
        <v>0</v>
      </c>
      <c r="B36" s="221"/>
      <c r="C36" s="587" t="s">
        <v>204</v>
      </c>
      <c r="D36" s="221" t="s">
        <v>29</v>
      </c>
      <c r="E36" s="221" t="s">
        <v>202</v>
      </c>
      <c r="F36" s="221" t="s">
        <v>203</v>
      </c>
      <c r="G36" s="222">
        <v>8</v>
      </c>
      <c r="H36" s="257"/>
      <c r="I36" s="257"/>
      <c r="J36" s="224"/>
      <c r="K36" s="537">
        <f t="shared" ref="K36" si="3">5200*0.3</f>
        <v>1560</v>
      </c>
      <c r="L36" s="182">
        <f>+(17597.19+14250)*0.3</f>
        <v>9554.1569999999992</v>
      </c>
      <c r="M36" s="182">
        <v>0</v>
      </c>
      <c r="N36" s="182">
        <v>0</v>
      </c>
      <c r="O36" s="250">
        <f>SUM(M36:N36)</f>
        <v>0</v>
      </c>
      <c r="P36" s="284"/>
      <c r="Q36" s="230"/>
      <c r="R36" s="197"/>
      <c r="S36" s="197"/>
      <c r="T36" s="197"/>
      <c r="U36" s="197"/>
    </row>
    <row r="37" spans="1:22" ht="129.75" customHeight="1" x14ac:dyDescent="0.25">
      <c r="A37" s="248">
        <v>0</v>
      </c>
      <c r="B37" s="220"/>
      <c r="C37" s="521" t="s">
        <v>207</v>
      </c>
      <c r="D37" s="221" t="s">
        <v>29</v>
      </c>
      <c r="E37" s="221" t="s">
        <v>205</v>
      </c>
      <c r="F37" s="221" t="s">
        <v>206</v>
      </c>
      <c r="G37" s="222">
        <v>8</v>
      </c>
      <c r="H37" s="257"/>
      <c r="I37" s="257"/>
      <c r="J37" s="224"/>
      <c r="K37" s="148">
        <f>5200*0.4</f>
        <v>2080</v>
      </c>
      <c r="L37" s="148">
        <f>+(17597.19+14250)*0.4</f>
        <v>12738.876</v>
      </c>
      <c r="M37" s="148">
        <f>1355.03+15322.5</f>
        <v>16677.53</v>
      </c>
      <c r="N37" s="148">
        <v>0</v>
      </c>
      <c r="O37" s="250">
        <f>SUM(M37:N37)</f>
        <v>16677.53</v>
      </c>
      <c r="P37" s="284"/>
      <c r="Q37" s="230"/>
      <c r="R37" s="197"/>
      <c r="S37" s="197"/>
      <c r="T37" s="197"/>
      <c r="U37" s="197"/>
    </row>
    <row r="38" spans="1:22" ht="105.75" customHeight="1" x14ac:dyDescent="0.25">
      <c r="A38" s="248">
        <v>1</v>
      </c>
      <c r="B38" s="221"/>
      <c r="C38" s="587" t="s">
        <v>208</v>
      </c>
      <c r="D38" s="221" t="s">
        <v>29</v>
      </c>
      <c r="E38" s="194" t="s">
        <v>222</v>
      </c>
      <c r="F38" s="221" t="s">
        <v>203</v>
      </c>
      <c r="G38" s="222">
        <v>16</v>
      </c>
      <c r="H38" s="257"/>
      <c r="I38" s="257"/>
      <c r="J38" s="224"/>
      <c r="K38" s="148">
        <v>5200</v>
      </c>
      <c r="L38" s="148">
        <v>15400</v>
      </c>
      <c r="M38" s="148">
        <v>0</v>
      </c>
      <c r="N38" s="148">
        <v>0</v>
      </c>
      <c r="O38" s="250">
        <f>SUM(M38:N38)</f>
        <v>0</v>
      </c>
      <c r="P38" s="284"/>
      <c r="Q38" s="217"/>
      <c r="R38" s="217"/>
      <c r="S38" s="197"/>
      <c r="T38" s="197"/>
      <c r="U38" s="197"/>
    </row>
    <row r="39" spans="1:22" s="413" customFormat="1" ht="121.5" customHeight="1" x14ac:dyDescent="0.25">
      <c r="A39" s="248">
        <v>1</v>
      </c>
      <c r="B39" s="220"/>
      <c r="C39" s="587" t="s">
        <v>209</v>
      </c>
      <c r="D39" s="221" t="s">
        <v>29</v>
      </c>
      <c r="E39" s="194" t="s">
        <v>223</v>
      </c>
      <c r="F39" s="221" t="s">
        <v>196</v>
      </c>
      <c r="G39" s="222">
        <v>16</v>
      </c>
      <c r="H39" s="257"/>
      <c r="I39" s="257"/>
      <c r="J39" s="224">
        <v>1070000</v>
      </c>
      <c r="K39" s="536">
        <f>4200*0.5</f>
        <v>2100</v>
      </c>
      <c r="L39" s="148">
        <f>+(14250+11650)*0.5</f>
        <v>12950</v>
      </c>
      <c r="M39" s="148">
        <v>0</v>
      </c>
      <c r="N39" s="148">
        <v>0</v>
      </c>
      <c r="O39" s="250">
        <f t="shared" ref="O39" si="4">SUM(M39:N39)</f>
        <v>0</v>
      </c>
      <c r="P39" s="522"/>
      <c r="Q39" s="523"/>
      <c r="R39" s="523"/>
      <c r="S39" s="523"/>
      <c r="T39" s="356"/>
      <c r="U39" s="356"/>
      <c r="V39" s="356"/>
    </row>
    <row r="40" spans="1:22" s="413" customFormat="1" ht="115.5" customHeight="1" x14ac:dyDescent="0.25">
      <c r="A40" s="448">
        <v>0</v>
      </c>
      <c r="B40" s="212" t="s">
        <v>85</v>
      </c>
      <c r="C40" s="589" t="s">
        <v>211</v>
      </c>
      <c r="D40" s="212" t="s">
        <v>29</v>
      </c>
      <c r="E40" s="244" t="s">
        <v>243</v>
      </c>
      <c r="F40" s="212" t="s">
        <v>210</v>
      </c>
      <c r="G40" s="214">
        <v>8</v>
      </c>
      <c r="H40" s="214"/>
      <c r="I40" s="214"/>
      <c r="J40" s="215"/>
      <c r="K40" s="536">
        <f>4200*0.5</f>
        <v>2100</v>
      </c>
      <c r="L40" s="148">
        <f>+(14250+11650)*0.5</f>
        <v>12950</v>
      </c>
      <c r="M40" s="148">
        <v>0</v>
      </c>
      <c r="N40" s="148">
        <v>10414.040000000001</v>
      </c>
      <c r="O40" s="524">
        <f>SUM(M40:N40)</f>
        <v>10414.040000000001</v>
      </c>
      <c r="P40" s="522"/>
      <c r="Q40" s="523"/>
      <c r="R40" s="523"/>
      <c r="S40" s="523"/>
      <c r="T40" s="356"/>
      <c r="U40" s="356"/>
      <c r="V40" s="356"/>
    </row>
    <row r="41" spans="1:22" s="413" customFormat="1" ht="91.5" customHeight="1" x14ac:dyDescent="0.25">
      <c r="A41" s="248">
        <v>1</v>
      </c>
      <c r="B41" s="220"/>
      <c r="C41" s="587" t="s">
        <v>213</v>
      </c>
      <c r="D41" s="220" t="s">
        <v>29</v>
      </c>
      <c r="E41" s="251">
        <v>45623</v>
      </c>
      <c r="F41" s="220" t="s">
        <v>212</v>
      </c>
      <c r="G41" s="222">
        <v>8</v>
      </c>
      <c r="H41" s="222"/>
      <c r="I41" s="222"/>
      <c r="J41" s="223"/>
      <c r="K41" s="536">
        <v>5100</v>
      </c>
      <c r="L41" s="148">
        <f>8500+6900</f>
        <v>15400</v>
      </c>
      <c r="M41" s="148">
        <v>0</v>
      </c>
      <c r="N41" s="148">
        <v>0</v>
      </c>
      <c r="O41" s="148">
        <f>+M41+N41</f>
        <v>0</v>
      </c>
      <c r="P41" s="535"/>
      <c r="Q41" s="356"/>
      <c r="R41" s="356"/>
      <c r="S41" s="356"/>
      <c r="T41" s="356"/>
      <c r="U41" s="356"/>
      <c r="V41" s="356"/>
    </row>
    <row r="42" spans="1:22" x14ac:dyDescent="0.25">
      <c r="A42" s="260">
        <f>SUM(A34:A41)</f>
        <v>4</v>
      </c>
      <c r="B42" s="730" t="s">
        <v>24</v>
      </c>
      <c r="C42" s="730"/>
      <c r="D42" s="730"/>
      <c r="E42" s="730"/>
      <c r="F42" s="730"/>
      <c r="G42" s="449">
        <f t="shared" ref="G42:O42" si="5">SUM(G34:G41)</f>
        <v>72</v>
      </c>
      <c r="H42" s="261">
        <f t="shared" si="5"/>
        <v>0</v>
      </c>
      <c r="I42" s="261">
        <f t="shared" si="5"/>
        <v>0</v>
      </c>
      <c r="J42" s="262">
        <f t="shared" si="5"/>
        <v>1720000</v>
      </c>
      <c r="K42" s="262">
        <f t="shared" si="5"/>
        <v>19700</v>
      </c>
      <c r="L42" s="262">
        <f t="shared" si="5"/>
        <v>88547.19</v>
      </c>
      <c r="M42" s="262">
        <f t="shared" si="5"/>
        <v>30448.159999999996</v>
      </c>
      <c r="N42" s="450">
        <f t="shared" si="5"/>
        <v>10414.040000000001</v>
      </c>
      <c r="O42" s="263">
        <f t="shared" si="5"/>
        <v>40862.199999999997</v>
      </c>
      <c r="P42" s="284"/>
      <c r="Q42" s="230"/>
      <c r="R42" s="197"/>
      <c r="S42" s="197"/>
      <c r="T42" s="197"/>
      <c r="U42" s="197"/>
      <c r="V42" s="197"/>
    </row>
    <row r="43" spans="1:22" x14ac:dyDescent="0.25">
      <c r="A43" s="731" t="s">
        <v>25</v>
      </c>
      <c r="B43" s="732"/>
      <c r="C43" s="732"/>
      <c r="D43" s="732"/>
      <c r="E43" s="732"/>
      <c r="F43" s="732"/>
      <c r="G43" s="732"/>
      <c r="H43" s="264"/>
      <c r="I43" s="264"/>
      <c r="J43" s="265"/>
      <c r="K43" s="266"/>
      <c r="L43" s="266"/>
      <c r="M43" s="266">
        <v>0</v>
      </c>
      <c r="N43" s="451">
        <f>0.1*-N42</f>
        <v>-1041.4040000000002</v>
      </c>
      <c r="O43" s="267">
        <f>SUM(N43:N43)</f>
        <v>-1041.4040000000002</v>
      </c>
      <c r="P43" s="284"/>
      <c r="Q43" s="197"/>
      <c r="R43" s="197"/>
      <c r="S43" s="197"/>
      <c r="T43" s="197"/>
      <c r="U43" s="197"/>
      <c r="V43" s="197"/>
    </row>
    <row r="44" spans="1:22" ht="15.75" customHeight="1" thickBot="1" x14ac:dyDescent="0.3">
      <c r="A44" s="777" t="s">
        <v>31</v>
      </c>
      <c r="B44" s="778"/>
      <c r="C44" s="778"/>
      <c r="D44" s="778"/>
      <c r="E44" s="778"/>
      <c r="F44" s="778"/>
      <c r="G44" s="779"/>
      <c r="H44" s="268"/>
      <c r="I44" s="268"/>
      <c r="J44" s="269"/>
      <c r="K44" s="270"/>
      <c r="L44" s="270"/>
      <c r="M44" s="270">
        <f>SUM(M42:M43)</f>
        <v>30448.159999999996</v>
      </c>
      <c r="N44" s="288">
        <f>+N42+N43</f>
        <v>9372.6360000000004</v>
      </c>
      <c r="O44" s="271">
        <f>+O42+O43</f>
        <v>39820.795999999995</v>
      </c>
      <c r="P44" s="284"/>
      <c r="Q44" s="197"/>
      <c r="R44" s="197"/>
      <c r="S44" s="197"/>
      <c r="T44" s="197"/>
      <c r="U44" s="197"/>
      <c r="V44" s="197"/>
    </row>
    <row r="45" spans="1:22" ht="29.25" customHeight="1" x14ac:dyDescent="0.25">
      <c r="A45" s="236"/>
      <c r="B45" s="236"/>
      <c r="C45" s="236"/>
      <c r="D45" s="236"/>
      <c r="E45" s="236"/>
      <c r="F45" s="236"/>
      <c r="G45" s="420"/>
      <c r="H45" s="237"/>
      <c r="I45" s="237"/>
      <c r="J45" s="293"/>
      <c r="K45" s="238"/>
      <c r="L45" s="238"/>
      <c r="M45" s="238"/>
      <c r="N45" s="421"/>
      <c r="O45" s="239"/>
      <c r="P45" s="284"/>
      <c r="Q45" s="398"/>
      <c r="R45" s="422"/>
      <c r="S45" s="197"/>
      <c r="T45" s="197"/>
      <c r="U45" s="197"/>
      <c r="V45" s="197"/>
    </row>
    <row r="46" spans="1:22" ht="14.25" customHeight="1" thickBot="1" x14ac:dyDescent="0.3">
      <c r="A46" s="756" t="s">
        <v>32</v>
      </c>
      <c r="B46" s="756"/>
      <c r="C46" s="756"/>
      <c r="D46" s="756"/>
      <c r="E46" s="756"/>
      <c r="F46" s="756"/>
      <c r="G46" s="756"/>
      <c r="H46" s="756"/>
      <c r="I46" s="756"/>
      <c r="J46" s="756"/>
      <c r="K46" s="756"/>
      <c r="L46" s="756"/>
      <c r="M46" s="756"/>
      <c r="N46" s="452"/>
      <c r="O46" s="453"/>
      <c r="P46" s="284"/>
      <c r="Q46" s="197"/>
      <c r="R46" s="197"/>
      <c r="S46" s="197"/>
      <c r="T46" s="197"/>
      <c r="U46" s="197"/>
      <c r="V46" s="197"/>
    </row>
    <row r="47" spans="1:22" ht="36.75" customHeight="1" thickBot="1" x14ac:dyDescent="0.3">
      <c r="A47" s="780" t="s">
        <v>6</v>
      </c>
      <c r="B47" s="783" t="s">
        <v>7</v>
      </c>
      <c r="C47" s="784"/>
      <c r="D47" s="725" t="s">
        <v>8</v>
      </c>
      <c r="E47" s="725" t="s">
        <v>9</v>
      </c>
      <c r="F47" s="725" t="s">
        <v>10</v>
      </c>
      <c r="G47" s="725" t="s">
        <v>28</v>
      </c>
      <c r="H47" s="783" t="s">
        <v>12</v>
      </c>
      <c r="I47" s="784"/>
      <c r="J47" s="725" t="s">
        <v>59</v>
      </c>
      <c r="K47" s="725" t="s">
        <v>21</v>
      </c>
      <c r="L47" s="725" t="s">
        <v>22</v>
      </c>
      <c r="M47" s="725" t="s">
        <v>13</v>
      </c>
      <c r="N47" s="725" t="s">
        <v>14</v>
      </c>
      <c r="O47" s="722" t="s">
        <v>15</v>
      </c>
      <c r="P47" s="284"/>
      <c r="Q47" s="197"/>
      <c r="R47" s="197"/>
      <c r="S47" s="197"/>
      <c r="T47" s="197"/>
      <c r="U47" s="197"/>
      <c r="V47" s="197"/>
    </row>
    <row r="48" spans="1:22" ht="30.75" customHeight="1" thickBot="1" x14ac:dyDescent="0.3">
      <c r="A48" s="781"/>
      <c r="B48" s="785"/>
      <c r="C48" s="786"/>
      <c r="D48" s="787"/>
      <c r="E48" s="787"/>
      <c r="F48" s="787"/>
      <c r="G48" s="787"/>
      <c r="H48" s="725" t="s">
        <v>20</v>
      </c>
      <c r="I48" s="725" t="s">
        <v>17</v>
      </c>
      <c r="J48" s="788"/>
      <c r="K48" s="726"/>
      <c r="L48" s="726"/>
      <c r="M48" s="788"/>
      <c r="N48" s="726"/>
      <c r="O48" s="723"/>
      <c r="P48" s="284"/>
      <c r="Q48" s="230"/>
      <c r="R48" s="284"/>
      <c r="S48" s="197"/>
      <c r="T48" s="197"/>
      <c r="U48" s="197"/>
      <c r="V48" s="197"/>
    </row>
    <row r="49" spans="1:22" s="459" customFormat="1" ht="14.25" hidden="1" customHeight="1" x14ac:dyDescent="0.25">
      <c r="A49" s="782"/>
      <c r="B49" s="455" t="s">
        <v>18</v>
      </c>
      <c r="C49" s="454" t="s">
        <v>19</v>
      </c>
      <c r="D49" s="787"/>
      <c r="E49" s="787"/>
      <c r="F49" s="787"/>
      <c r="G49" s="787"/>
      <c r="H49" s="726"/>
      <c r="I49" s="726"/>
      <c r="J49" s="788"/>
      <c r="K49" s="726"/>
      <c r="L49" s="726"/>
      <c r="M49" s="788"/>
      <c r="N49" s="726"/>
      <c r="O49" s="724"/>
      <c r="P49" s="456"/>
      <c r="Q49" s="457"/>
      <c r="R49" s="456"/>
      <c r="S49" s="458"/>
      <c r="T49" s="458"/>
      <c r="U49" s="458"/>
      <c r="V49" s="458"/>
    </row>
    <row r="50" spans="1:22" ht="83.25" customHeight="1" x14ac:dyDescent="0.25">
      <c r="A50" s="460">
        <v>1</v>
      </c>
      <c r="B50" s="461" t="s">
        <v>221</v>
      </c>
      <c r="C50" s="461" t="s">
        <v>215</v>
      </c>
      <c r="D50" s="462" t="s">
        <v>33</v>
      </c>
      <c r="E50" s="525">
        <v>45604</v>
      </c>
      <c r="F50" s="461" t="s">
        <v>165</v>
      </c>
      <c r="G50" s="461">
        <v>16</v>
      </c>
      <c r="H50" s="461">
        <v>0</v>
      </c>
      <c r="I50" s="461">
        <v>0</v>
      </c>
      <c r="J50" s="461"/>
      <c r="K50" s="461">
        <v>2900</v>
      </c>
      <c r="L50" s="461">
        <v>2750</v>
      </c>
      <c r="M50" s="461"/>
      <c r="N50" s="542">
        <v>19225.919999999998</v>
      </c>
      <c r="O50" s="461">
        <f>SUM(M50:N50)</f>
        <v>19225.919999999998</v>
      </c>
      <c r="P50" s="463"/>
      <c r="Q50" s="197"/>
      <c r="R50" s="197"/>
      <c r="S50" s="197"/>
      <c r="T50" s="197"/>
      <c r="U50" s="197"/>
      <c r="V50" s="197"/>
    </row>
    <row r="51" spans="1:22" ht="146.25" customHeight="1" x14ac:dyDescent="0.25">
      <c r="A51" s="218">
        <v>1</v>
      </c>
      <c r="B51" s="461" t="s">
        <v>57</v>
      </c>
      <c r="C51" s="461" t="s">
        <v>216</v>
      </c>
      <c r="D51" s="464" t="s">
        <v>33</v>
      </c>
      <c r="E51" s="465" t="s">
        <v>217</v>
      </c>
      <c r="F51" s="461" t="s">
        <v>165</v>
      </c>
      <c r="G51" s="466">
        <v>16</v>
      </c>
      <c r="H51" s="466">
        <v>0</v>
      </c>
      <c r="I51" s="466">
        <v>0</v>
      </c>
      <c r="J51" s="467">
        <v>370000</v>
      </c>
      <c r="K51" s="468">
        <v>2900</v>
      </c>
      <c r="L51" s="461">
        <v>2750</v>
      </c>
      <c r="M51" s="461">
        <v>8981.4500000000007</v>
      </c>
      <c r="N51" s="542">
        <v>19225.919999999998</v>
      </c>
      <c r="O51" s="469">
        <f>M51+N51</f>
        <v>28207.37</v>
      </c>
      <c r="P51" s="284"/>
      <c r="Q51" s="197"/>
      <c r="R51" s="197"/>
      <c r="S51" s="197"/>
      <c r="T51" s="197"/>
      <c r="U51" s="197"/>
      <c r="V51" s="197"/>
    </row>
    <row r="52" spans="1:22" ht="57.75" customHeight="1" x14ac:dyDescent="0.25">
      <c r="A52" s="277">
        <v>1</v>
      </c>
      <c r="B52" s="461" t="s">
        <v>245</v>
      </c>
      <c r="C52" s="461" t="s">
        <v>226</v>
      </c>
      <c r="D52" s="461" t="s">
        <v>33</v>
      </c>
      <c r="E52" s="526" t="s">
        <v>218</v>
      </c>
      <c r="F52" s="461" t="s">
        <v>166</v>
      </c>
      <c r="G52" s="527">
        <v>16</v>
      </c>
      <c r="H52" s="527">
        <v>0</v>
      </c>
      <c r="I52" s="527">
        <v>0</v>
      </c>
      <c r="J52" s="528"/>
      <c r="K52" s="529">
        <v>4600</v>
      </c>
      <c r="L52" s="529">
        <v>8500</v>
      </c>
      <c r="M52" s="529">
        <f>15951.68+2043+2964.44</f>
        <v>20959.12</v>
      </c>
      <c r="N52" s="529">
        <v>21600</v>
      </c>
      <c r="O52" s="528">
        <f>M52+N52</f>
        <v>42559.119999999995</v>
      </c>
      <c r="P52" s="252"/>
      <c r="Q52" s="530"/>
      <c r="R52" s="197"/>
      <c r="S52" s="197"/>
      <c r="T52" s="197"/>
      <c r="U52" s="197"/>
      <c r="V52" s="197"/>
    </row>
    <row r="53" spans="1:22" ht="78" customHeight="1" x14ac:dyDescent="0.25">
      <c r="A53" s="277">
        <v>1</v>
      </c>
      <c r="B53" s="461" t="s">
        <v>225</v>
      </c>
      <c r="C53" s="461" t="s">
        <v>227</v>
      </c>
      <c r="D53" s="461" t="s">
        <v>33</v>
      </c>
      <c r="E53" s="526" t="s">
        <v>219</v>
      </c>
      <c r="F53" s="461" t="s">
        <v>165</v>
      </c>
      <c r="G53" s="527">
        <v>8</v>
      </c>
      <c r="H53" s="527">
        <v>29</v>
      </c>
      <c r="I53" s="527">
        <v>6</v>
      </c>
      <c r="J53" s="528"/>
      <c r="K53" s="529">
        <v>2900</v>
      </c>
      <c r="L53" s="529">
        <v>2750</v>
      </c>
      <c r="M53" s="529"/>
      <c r="N53" s="529">
        <v>10414.040000000001</v>
      </c>
      <c r="O53" s="528">
        <f>M53+N53</f>
        <v>10414.040000000001</v>
      </c>
      <c r="P53" s="252"/>
      <c r="Q53" s="197"/>
      <c r="R53" s="197"/>
      <c r="S53" s="197"/>
      <c r="T53" s="197"/>
      <c r="U53" s="197"/>
      <c r="V53" s="197"/>
    </row>
    <row r="54" spans="1:22" ht="15.75" customHeight="1" thickBot="1" x14ac:dyDescent="0.3">
      <c r="A54" s="260">
        <f>SUM(A50:A53)</f>
        <v>4</v>
      </c>
      <c r="B54" s="772" t="s">
        <v>24</v>
      </c>
      <c r="C54" s="772"/>
      <c r="D54" s="772"/>
      <c r="E54" s="772"/>
      <c r="F54" s="772"/>
      <c r="G54" s="470">
        <f>SUM(G50:G53)</f>
        <v>56</v>
      </c>
      <c r="H54" s="471">
        <f>SUM(H50:H53)</f>
        <v>29</v>
      </c>
      <c r="I54" s="471">
        <f>SUM(I50:I53)</f>
        <v>6</v>
      </c>
      <c r="J54" s="471">
        <f t="shared" ref="J54" si="6">SUM(J51:J53)</f>
        <v>370000</v>
      </c>
      <c r="K54" s="471">
        <f>SUM(K50:K53)</f>
        <v>13300</v>
      </c>
      <c r="L54" s="471">
        <f>SUM(L50:L53)</f>
        <v>16750</v>
      </c>
      <c r="M54" s="471">
        <f>SUM(M50:M53)</f>
        <v>29940.57</v>
      </c>
      <c r="N54" s="472">
        <f>SUM(N50:N53)</f>
        <v>70465.88</v>
      </c>
      <c r="O54" s="473">
        <f>SUM(O50:O53)</f>
        <v>100406.44999999998</v>
      </c>
      <c r="P54" s="284"/>
      <c r="Q54" s="197"/>
      <c r="R54" s="197"/>
      <c r="S54" s="197"/>
      <c r="T54" s="197"/>
      <c r="U54" s="197"/>
      <c r="V54" s="197"/>
    </row>
    <row r="55" spans="1:22" ht="14.25" customHeight="1" x14ac:dyDescent="0.25">
      <c r="A55" s="731" t="s">
        <v>25</v>
      </c>
      <c r="B55" s="732"/>
      <c r="C55" s="732"/>
      <c r="D55" s="732"/>
      <c r="E55" s="732"/>
      <c r="F55" s="732"/>
      <c r="G55" s="732"/>
      <c r="H55" s="474"/>
      <c r="I55" s="474"/>
      <c r="J55" s="265"/>
      <c r="K55" s="475"/>
      <c r="L55" s="475"/>
      <c r="M55" s="266">
        <v>0</v>
      </c>
      <c r="N55" s="451">
        <f>-0.1*N54</f>
        <v>-7046.5880000000006</v>
      </c>
      <c r="O55" s="267">
        <f>SUM(N55:N55)</f>
        <v>-7046.5880000000006</v>
      </c>
      <c r="P55" s="284"/>
      <c r="Q55" s="197"/>
      <c r="R55" s="197"/>
      <c r="S55" s="197"/>
      <c r="T55" s="197"/>
      <c r="U55" s="197"/>
      <c r="V55" s="197"/>
    </row>
    <row r="56" spans="1:22" ht="16.5" thickBot="1" x14ac:dyDescent="0.3">
      <c r="A56" s="777" t="s">
        <v>31</v>
      </c>
      <c r="B56" s="778"/>
      <c r="C56" s="778"/>
      <c r="D56" s="778"/>
      <c r="E56" s="778"/>
      <c r="F56" s="778"/>
      <c r="G56" s="779"/>
      <c r="H56" s="285"/>
      <c r="I56" s="285"/>
      <c r="J56" s="269"/>
      <c r="K56" s="287"/>
      <c r="L56" s="287"/>
      <c r="M56" s="270">
        <f>SUM(M54:M55)</f>
        <v>29940.57</v>
      </c>
      <c r="N56" s="288">
        <f>+N54+N55</f>
        <v>63419.292000000001</v>
      </c>
      <c r="O56" s="271">
        <f>+O54+O55</f>
        <v>93359.861999999979</v>
      </c>
      <c r="P56" s="284"/>
      <c r="Q56" s="197"/>
      <c r="R56" s="197"/>
      <c r="S56" s="197"/>
      <c r="T56" s="197"/>
      <c r="U56" s="197"/>
      <c r="V56" s="197"/>
    </row>
    <row r="57" spans="1:22" x14ac:dyDescent="0.25">
      <c r="A57" s="289"/>
      <c r="B57" s="289"/>
      <c r="C57" s="289"/>
      <c r="D57" s="289"/>
      <c r="E57" s="289"/>
      <c r="F57" s="289"/>
      <c r="G57" s="313"/>
      <c r="H57" s="237"/>
      <c r="I57" s="237"/>
      <c r="J57" s="293"/>
      <c r="K57" s="238"/>
      <c r="L57" s="238"/>
      <c r="M57" s="293"/>
      <c r="N57" s="476"/>
      <c r="O57" s="293"/>
      <c r="P57" s="284"/>
      <c r="Q57" s="197"/>
      <c r="R57" s="197"/>
      <c r="S57" s="197"/>
      <c r="T57" s="197"/>
      <c r="U57" s="197"/>
      <c r="V57" s="197"/>
    </row>
    <row r="58" spans="1:22" ht="24.75" customHeight="1" x14ac:dyDescent="0.25">
      <c r="A58" s="289"/>
      <c r="B58" s="289"/>
      <c r="C58" s="289"/>
      <c r="D58" s="289"/>
      <c r="E58" s="289"/>
      <c r="F58" s="289"/>
      <c r="G58" s="313"/>
      <c r="H58" s="294"/>
      <c r="I58" s="294"/>
      <c r="J58" s="293"/>
      <c r="K58" s="293"/>
      <c r="L58" s="293"/>
      <c r="M58" s="293"/>
      <c r="N58" s="476"/>
      <c r="O58" s="295"/>
      <c r="P58" s="284"/>
      <c r="Q58" s="398"/>
      <c r="R58" s="422"/>
      <c r="S58" s="197"/>
      <c r="T58" s="197"/>
      <c r="U58" s="197"/>
      <c r="V58" s="197"/>
    </row>
    <row r="59" spans="1:22" ht="30.75" customHeight="1" thickBot="1" x14ac:dyDescent="0.3">
      <c r="A59" s="741" t="s">
        <v>34</v>
      </c>
      <c r="B59" s="741"/>
      <c r="C59" s="741"/>
      <c r="D59" s="741"/>
      <c r="E59" s="741"/>
      <c r="F59" s="741"/>
      <c r="G59" s="741"/>
      <c r="H59" s="741"/>
      <c r="I59" s="741"/>
      <c r="J59" s="741"/>
      <c r="K59" s="741"/>
      <c r="L59" s="741"/>
      <c r="M59" s="741"/>
      <c r="N59" s="741"/>
      <c r="O59" s="741"/>
      <c r="P59" s="284"/>
      <c r="Q59" s="197"/>
      <c r="R59" s="197"/>
      <c r="S59" s="197"/>
      <c r="T59" s="197"/>
      <c r="U59" s="197"/>
      <c r="V59" s="197"/>
    </row>
    <row r="60" spans="1:22" ht="39" customHeight="1" thickBot="1" x14ac:dyDescent="0.3">
      <c r="A60" s="742" t="s">
        <v>6</v>
      </c>
      <c r="B60" s="744" t="s">
        <v>7</v>
      </c>
      <c r="C60" s="745"/>
      <c r="D60" s="733" t="s">
        <v>8</v>
      </c>
      <c r="E60" s="733" t="s">
        <v>9</v>
      </c>
      <c r="F60" s="733" t="s">
        <v>10</v>
      </c>
      <c r="G60" s="733" t="s">
        <v>28</v>
      </c>
      <c r="H60" s="775" t="s">
        <v>12</v>
      </c>
      <c r="I60" s="776"/>
      <c r="J60" s="733" t="s">
        <v>59</v>
      </c>
      <c r="K60" s="725" t="s">
        <v>21</v>
      </c>
      <c r="L60" s="725" t="s">
        <v>22</v>
      </c>
      <c r="M60" s="733" t="s">
        <v>13</v>
      </c>
      <c r="N60" s="733" t="s">
        <v>14</v>
      </c>
      <c r="O60" s="735" t="s">
        <v>36</v>
      </c>
      <c r="P60" s="284"/>
      <c r="Q60" s="197"/>
      <c r="R60" s="197"/>
      <c r="S60" s="197"/>
      <c r="T60" s="197"/>
      <c r="U60" s="197"/>
      <c r="V60" s="197"/>
    </row>
    <row r="61" spans="1:22" ht="16.5" hidden="1" thickBot="1" x14ac:dyDescent="0.3">
      <c r="A61" s="743"/>
      <c r="B61" s="746"/>
      <c r="C61" s="747"/>
      <c r="D61" s="734"/>
      <c r="E61" s="734"/>
      <c r="F61" s="734"/>
      <c r="G61" s="748"/>
      <c r="H61" s="733" t="s">
        <v>20</v>
      </c>
      <c r="I61" s="733" t="s">
        <v>17</v>
      </c>
      <c r="J61" s="749"/>
      <c r="K61" s="726"/>
      <c r="L61" s="726"/>
      <c r="M61" s="749"/>
      <c r="N61" s="734"/>
      <c r="O61" s="736"/>
      <c r="P61" s="284"/>
      <c r="Q61" s="230"/>
      <c r="R61" s="197"/>
      <c r="S61" s="197"/>
      <c r="T61" s="197"/>
      <c r="U61" s="197"/>
      <c r="V61" s="197"/>
    </row>
    <row r="62" spans="1:22" ht="31.5" customHeight="1" thickBot="1" x14ac:dyDescent="0.3">
      <c r="A62" s="774"/>
      <c r="B62" s="203" t="s">
        <v>18</v>
      </c>
      <c r="C62" s="403" t="s">
        <v>19</v>
      </c>
      <c r="D62" s="734"/>
      <c r="E62" s="734"/>
      <c r="F62" s="734"/>
      <c r="G62" s="748"/>
      <c r="H62" s="734"/>
      <c r="I62" s="734"/>
      <c r="J62" s="749"/>
      <c r="K62" s="771"/>
      <c r="L62" s="771"/>
      <c r="M62" s="749"/>
      <c r="N62" s="734"/>
      <c r="O62" s="737"/>
      <c r="P62" s="284"/>
      <c r="Q62" s="230"/>
      <c r="R62" s="197"/>
      <c r="S62" s="197"/>
      <c r="T62" s="197"/>
      <c r="U62" s="197"/>
      <c r="V62" s="197"/>
    </row>
    <row r="63" spans="1:22" ht="111" thickBot="1" x14ac:dyDescent="0.3">
      <c r="A63" s="477">
        <v>1</v>
      </c>
      <c r="B63" s="221" t="s">
        <v>74</v>
      </c>
      <c r="C63" s="478" t="s">
        <v>214</v>
      </c>
      <c r="D63" s="221" t="s">
        <v>37</v>
      </c>
      <c r="E63" s="194">
        <v>45620</v>
      </c>
      <c r="F63" s="221" t="s">
        <v>244</v>
      </c>
      <c r="G63" s="222">
        <v>24</v>
      </c>
      <c r="H63" s="257">
        <v>0</v>
      </c>
      <c r="I63" s="257">
        <v>13</v>
      </c>
      <c r="J63" s="224">
        <v>250000</v>
      </c>
      <c r="K63" s="224">
        <v>5500</v>
      </c>
      <c r="L63" s="224">
        <v>20361.04</v>
      </c>
      <c r="M63" s="223">
        <f>1427.21+40500+13380.06+8594.87</f>
        <v>63902.14</v>
      </c>
      <c r="N63" s="223">
        <v>39600</v>
      </c>
      <c r="O63" s="224">
        <f t="shared" ref="O63:O66" si="7">SUM(M63:N63)</f>
        <v>103502.14</v>
      </c>
      <c r="P63" s="284" t="s">
        <v>16</v>
      </c>
      <c r="Q63" s="230"/>
      <c r="R63" s="284"/>
      <c r="S63" s="197"/>
      <c r="T63" s="197"/>
      <c r="U63" s="197"/>
      <c r="V63" s="197"/>
    </row>
    <row r="64" spans="1:22" ht="78.75" hidden="1" x14ac:dyDescent="0.25">
      <c r="A64" s="479"/>
      <c r="B64" s="445" t="s">
        <v>30</v>
      </c>
      <c r="C64" s="480" t="s">
        <v>198</v>
      </c>
      <c r="D64" s="445" t="s">
        <v>37</v>
      </c>
      <c r="E64" s="444" t="s">
        <v>124</v>
      </c>
      <c r="F64" s="445" t="s">
        <v>111</v>
      </c>
      <c r="G64" s="446"/>
      <c r="H64" s="435"/>
      <c r="I64" s="435"/>
      <c r="J64" s="224">
        <v>300000</v>
      </c>
      <c r="K64" s="436"/>
      <c r="L64" s="436"/>
      <c r="M64" s="436"/>
      <c r="N64" s="447"/>
      <c r="O64" s="481">
        <f t="shared" si="7"/>
        <v>0</v>
      </c>
      <c r="P64" s="284"/>
      <c r="Q64" s="197"/>
      <c r="R64" s="197"/>
      <c r="S64" s="197"/>
      <c r="T64" s="197"/>
      <c r="U64" s="197"/>
      <c r="V64" s="197"/>
    </row>
    <row r="65" spans="1:22" ht="69" hidden="1" customHeight="1" thickBot="1" x14ac:dyDescent="0.3">
      <c r="A65" s="482">
        <v>0</v>
      </c>
      <c r="B65" s="483" t="s">
        <v>74</v>
      </c>
      <c r="C65" s="483" t="s">
        <v>199</v>
      </c>
      <c r="D65" s="483" t="s">
        <v>37</v>
      </c>
      <c r="E65" s="484" t="s">
        <v>89</v>
      </c>
      <c r="F65" s="445" t="s">
        <v>71</v>
      </c>
      <c r="G65" s="446">
        <v>0</v>
      </c>
      <c r="H65" s="435">
        <v>0</v>
      </c>
      <c r="I65" s="435">
        <v>0</v>
      </c>
      <c r="J65" s="224">
        <v>370000</v>
      </c>
      <c r="K65" s="436">
        <v>0</v>
      </c>
      <c r="L65" s="436">
        <v>0</v>
      </c>
      <c r="M65" s="436">
        <v>0</v>
      </c>
      <c r="N65" s="447">
        <v>0</v>
      </c>
      <c r="O65" s="481">
        <f t="shared" si="7"/>
        <v>0</v>
      </c>
      <c r="P65" s="485"/>
      <c r="Q65" s="485"/>
      <c r="R65" s="485"/>
      <c r="S65" s="197"/>
      <c r="T65" s="197"/>
      <c r="U65" s="197"/>
      <c r="V65" s="197"/>
    </row>
    <row r="66" spans="1:22" ht="67.5" hidden="1" customHeight="1" thickBot="1" x14ac:dyDescent="0.3">
      <c r="A66" s="486">
        <v>0</v>
      </c>
      <c r="B66" s="445" t="s">
        <v>30</v>
      </c>
      <c r="C66" s="487" t="s">
        <v>200</v>
      </c>
      <c r="D66" s="445" t="s">
        <v>37</v>
      </c>
      <c r="E66" s="444"/>
      <c r="F66" s="445" t="s">
        <v>39</v>
      </c>
      <c r="G66" s="446"/>
      <c r="H66" s="435"/>
      <c r="I66" s="435"/>
      <c r="J66" s="224"/>
      <c r="K66" s="436"/>
      <c r="L66" s="436"/>
      <c r="M66" s="436"/>
      <c r="N66" s="447"/>
      <c r="O66" s="488">
        <f t="shared" si="7"/>
        <v>0</v>
      </c>
      <c r="P66" s="284"/>
      <c r="Q66" s="197"/>
      <c r="R66" s="197"/>
      <c r="S66" s="197"/>
      <c r="T66" s="197"/>
      <c r="U66" s="197"/>
      <c r="V66" s="197"/>
    </row>
    <row r="67" spans="1:22" ht="17.25" customHeight="1" thickBot="1" x14ac:dyDescent="0.3">
      <c r="A67" s="228">
        <f>SUM(A63:A66)</f>
        <v>1</v>
      </c>
      <c r="B67" s="772" t="s">
        <v>24</v>
      </c>
      <c r="C67" s="772"/>
      <c r="D67" s="772"/>
      <c r="E67" s="772"/>
      <c r="F67" s="772"/>
      <c r="G67" s="489">
        <f t="shared" ref="G67:J67" si="8">SUM(G63:G66)</f>
        <v>24</v>
      </c>
      <c r="H67" s="489">
        <f t="shared" si="8"/>
        <v>0</v>
      </c>
      <c r="I67" s="489">
        <f t="shared" si="8"/>
        <v>13</v>
      </c>
      <c r="J67" s="489">
        <f t="shared" si="8"/>
        <v>920000</v>
      </c>
      <c r="K67" s="489">
        <f>SUM(K63:K66)</f>
        <v>5500</v>
      </c>
      <c r="L67" s="489">
        <f t="shared" ref="L67:O67" si="9">SUM(L63:L66)</f>
        <v>20361.04</v>
      </c>
      <c r="M67" s="489">
        <f t="shared" si="9"/>
        <v>63902.14</v>
      </c>
      <c r="N67" s="489">
        <f t="shared" si="9"/>
        <v>39600</v>
      </c>
      <c r="O67" s="307">
        <f t="shared" si="9"/>
        <v>103502.14</v>
      </c>
      <c r="P67" s="284"/>
      <c r="Q67" s="197"/>
      <c r="R67" s="197"/>
      <c r="S67" s="197"/>
      <c r="T67" s="197"/>
      <c r="U67" s="197"/>
      <c r="V67" s="197"/>
    </row>
    <row r="68" spans="1:22" ht="17.25" customHeight="1" thickBot="1" x14ac:dyDescent="0.3">
      <c r="A68" s="739" t="s">
        <v>25</v>
      </c>
      <c r="B68" s="740"/>
      <c r="C68" s="740"/>
      <c r="D68" s="740"/>
      <c r="E68" s="740"/>
      <c r="F68" s="740"/>
      <c r="G68" s="740"/>
      <c r="H68" s="308"/>
      <c r="I68" s="308"/>
      <c r="J68" s="518"/>
      <c r="K68" s="309"/>
      <c r="L68" s="309"/>
      <c r="M68" s="310">
        <v>0</v>
      </c>
      <c r="N68" s="310">
        <f>N67*-0.1</f>
        <v>-3960</v>
      </c>
      <c r="O68" s="310">
        <f>N68</f>
        <v>-3960</v>
      </c>
      <c r="P68" s="284"/>
      <c r="Q68" s="197"/>
      <c r="R68" s="197"/>
      <c r="S68" s="197"/>
      <c r="T68" s="197"/>
      <c r="U68" s="197"/>
      <c r="V68" s="197"/>
    </row>
    <row r="69" spans="1:22" ht="17.25" customHeight="1" thickBot="1" x14ac:dyDescent="0.3">
      <c r="A69" s="738" t="s">
        <v>26</v>
      </c>
      <c r="B69" s="738"/>
      <c r="C69" s="738"/>
      <c r="D69" s="738"/>
      <c r="E69" s="738"/>
      <c r="F69" s="738"/>
      <c r="G69" s="738"/>
      <c r="H69" s="311"/>
      <c r="I69" s="311"/>
      <c r="J69" s="519"/>
      <c r="K69" s="312"/>
      <c r="L69" s="312"/>
      <c r="M69" s="310">
        <f>SUM(M67:M68)</f>
        <v>63902.14</v>
      </c>
      <c r="N69" s="310">
        <f>N67 +(N68)</f>
        <v>35640</v>
      </c>
      <c r="O69" s="310">
        <f>O68+O67</f>
        <v>99542.14</v>
      </c>
      <c r="P69" s="284"/>
      <c r="Q69" s="197"/>
      <c r="R69" s="197"/>
      <c r="S69" s="197"/>
      <c r="T69" s="197"/>
      <c r="U69" s="197"/>
      <c r="V69" s="197"/>
    </row>
    <row r="70" spans="1:22" ht="37.5" customHeight="1" thickBot="1" x14ac:dyDescent="0.3">
      <c r="A70" s="313"/>
      <c r="B70" s="313"/>
      <c r="C70" s="313"/>
      <c r="D70" s="313"/>
      <c r="E70" s="313"/>
      <c r="F70" s="313"/>
      <c r="G70" s="313"/>
      <c r="H70" s="314"/>
      <c r="I70" s="314"/>
      <c r="J70" s="520"/>
      <c r="K70" s="315"/>
      <c r="L70" s="315"/>
      <c r="M70" s="316"/>
      <c r="N70" s="316"/>
      <c r="O70" s="316"/>
      <c r="P70" s="490"/>
      <c r="Q70" s="317"/>
      <c r="R70" s="317"/>
      <c r="S70" s="317"/>
      <c r="T70" s="317"/>
      <c r="U70" s="317"/>
      <c r="V70" s="197"/>
    </row>
    <row r="71" spans="1:22" ht="18.75" customHeight="1" thickBot="1" x14ac:dyDescent="0.3">
      <c r="A71" s="403"/>
      <c r="B71" s="758" t="s">
        <v>77</v>
      </c>
      <c r="C71" s="758"/>
      <c r="D71" s="758"/>
      <c r="E71" s="758"/>
      <c r="F71" s="758"/>
      <c r="G71" s="745"/>
      <c r="H71" s="314"/>
      <c r="I71" s="768" t="s">
        <v>75</v>
      </c>
      <c r="J71" s="769"/>
      <c r="K71" s="769"/>
      <c r="L71" s="769"/>
      <c r="M71" s="769"/>
      <c r="N71" s="770"/>
      <c r="O71" s="316"/>
      <c r="P71" s="790" t="s">
        <v>146</v>
      </c>
      <c r="Q71" s="791"/>
      <c r="R71" s="791"/>
      <c r="S71" s="791"/>
      <c r="T71" s="791"/>
      <c r="U71" s="792"/>
      <c r="V71" s="197"/>
    </row>
    <row r="72" spans="1:22" ht="27.75" customHeight="1" thickBot="1" x14ac:dyDescent="0.3">
      <c r="A72" s="491"/>
      <c r="B72" s="773"/>
      <c r="C72" s="773"/>
      <c r="D72" s="773"/>
      <c r="E72" s="773"/>
      <c r="F72" s="773"/>
      <c r="G72" s="747"/>
      <c r="H72" s="314"/>
      <c r="I72" s="321" t="s">
        <v>41</v>
      </c>
      <c r="J72" s="66" t="s">
        <v>42</v>
      </c>
      <c r="K72" s="67" t="s">
        <v>43</v>
      </c>
      <c r="L72" s="67" t="s">
        <v>44</v>
      </c>
      <c r="M72" s="68" t="s">
        <v>45</v>
      </c>
      <c r="N72" s="322" t="s">
        <v>31</v>
      </c>
      <c r="O72" s="316"/>
      <c r="P72" s="492" t="s">
        <v>41</v>
      </c>
      <c r="Q72" s="66" t="s">
        <v>42</v>
      </c>
      <c r="R72" s="67" t="s">
        <v>43</v>
      </c>
      <c r="S72" s="67" t="s">
        <v>44</v>
      </c>
      <c r="T72" s="68" t="s">
        <v>45</v>
      </c>
      <c r="U72" s="322" t="s">
        <v>31</v>
      </c>
      <c r="V72" s="197"/>
    </row>
    <row r="73" spans="1:22" ht="31.5" customHeight="1" thickBot="1" x14ac:dyDescent="0.3">
      <c r="A73" s="753" t="s">
        <v>40</v>
      </c>
      <c r="B73" s="753"/>
      <c r="C73" s="753"/>
      <c r="D73" s="753" t="s">
        <v>144</v>
      </c>
      <c r="E73" s="753"/>
      <c r="F73" s="753" t="s">
        <v>145</v>
      </c>
      <c r="G73" s="753"/>
      <c r="H73" s="314"/>
      <c r="I73" s="323" t="s">
        <v>22</v>
      </c>
      <c r="J73" s="324">
        <f>L26</f>
        <v>43118.92</v>
      </c>
      <c r="K73" s="324">
        <f>L54</f>
        <v>16750</v>
      </c>
      <c r="L73" s="324">
        <f>L42</f>
        <v>88547.19</v>
      </c>
      <c r="M73" s="325">
        <f>L67</f>
        <v>20361.04</v>
      </c>
      <c r="N73" s="326">
        <f>SUM(J73:M73)</f>
        <v>168777.15</v>
      </c>
      <c r="O73" s="327"/>
      <c r="P73" s="493" t="s">
        <v>22</v>
      </c>
      <c r="Q73" s="324">
        <v>37500</v>
      </c>
      <c r="R73" s="324">
        <v>23000</v>
      </c>
      <c r="S73" s="324">
        <v>69300</v>
      </c>
      <c r="T73" s="325">
        <v>36194.22</v>
      </c>
      <c r="U73" s="326">
        <v>165994.22</v>
      </c>
      <c r="V73" s="197"/>
    </row>
    <row r="74" spans="1:22" ht="31.5" customHeight="1" thickBot="1" x14ac:dyDescent="0.3">
      <c r="A74" s="760" t="s">
        <v>46</v>
      </c>
      <c r="B74" s="760"/>
      <c r="C74" s="760"/>
      <c r="D74" s="765">
        <v>481236.83400000003</v>
      </c>
      <c r="E74" s="766"/>
      <c r="F74" s="793">
        <f>F82</f>
        <v>338875.90799999994</v>
      </c>
      <c r="G74" s="793"/>
      <c r="H74" s="494"/>
      <c r="I74" s="329" t="s">
        <v>48</v>
      </c>
      <c r="J74" s="330">
        <f>K26</f>
        <v>20900</v>
      </c>
      <c r="K74" s="324">
        <f>K54</f>
        <v>13300</v>
      </c>
      <c r="L74" s="330">
        <f>K42</f>
        <v>19700</v>
      </c>
      <c r="M74" s="331">
        <f>K67</f>
        <v>5500</v>
      </c>
      <c r="N74" s="332">
        <f>SUM(J74:M74)</f>
        <v>59400</v>
      </c>
      <c r="O74" s="327"/>
      <c r="P74" s="495" t="s">
        <v>48</v>
      </c>
      <c r="Q74" s="330">
        <v>16500</v>
      </c>
      <c r="R74" s="324">
        <v>15900</v>
      </c>
      <c r="S74" s="330">
        <v>22200</v>
      </c>
      <c r="T74" s="331">
        <v>4500</v>
      </c>
      <c r="U74" s="332">
        <v>59100</v>
      </c>
      <c r="V74" s="197"/>
    </row>
    <row r="75" spans="1:22" ht="20.100000000000001" customHeight="1" thickBot="1" x14ac:dyDescent="0.3">
      <c r="A75" s="760" t="s">
        <v>47</v>
      </c>
      <c r="B75" s="760"/>
      <c r="C75" s="760"/>
      <c r="D75" s="794">
        <v>4</v>
      </c>
      <c r="E75" s="795"/>
      <c r="F75" s="738">
        <f>A63+A53</f>
        <v>2</v>
      </c>
      <c r="G75" s="738"/>
      <c r="H75" s="494"/>
      <c r="I75" s="496" t="s">
        <v>50</v>
      </c>
      <c r="J75" s="330">
        <f>O28</f>
        <v>106153.10999999999</v>
      </c>
      <c r="K75" s="330">
        <f>O56</f>
        <v>93359.861999999979</v>
      </c>
      <c r="L75" s="330">
        <f>O44</f>
        <v>39820.795999999995</v>
      </c>
      <c r="M75" s="331">
        <f>O69</f>
        <v>99542.14</v>
      </c>
      <c r="N75" s="497">
        <f>SUM(J75:M75)</f>
        <v>338875.90799999994</v>
      </c>
      <c r="O75" s="327"/>
      <c r="P75" s="498" t="s">
        <v>50</v>
      </c>
      <c r="Q75" s="330">
        <v>239499</v>
      </c>
      <c r="R75" s="330">
        <v>107560</v>
      </c>
      <c r="S75" s="330">
        <v>41040</v>
      </c>
      <c r="T75" s="331">
        <v>93137.834000000003</v>
      </c>
      <c r="U75" s="336">
        <v>481236.83400000003</v>
      </c>
      <c r="V75" s="197"/>
    </row>
    <row r="76" spans="1:22" ht="20.100000000000001" customHeight="1" thickBot="1" x14ac:dyDescent="0.3">
      <c r="A76" s="796" t="s">
        <v>49</v>
      </c>
      <c r="B76" s="797"/>
      <c r="C76" s="798"/>
      <c r="D76" s="794">
        <v>13</v>
      </c>
      <c r="E76" s="795"/>
      <c r="F76" s="738">
        <f>(A67+A54+A42+A26)</f>
        <v>14</v>
      </c>
      <c r="G76" s="738"/>
      <c r="H76" s="494"/>
      <c r="I76" s="321" t="s">
        <v>31</v>
      </c>
      <c r="J76" s="499">
        <f>SUM(J73:J75)</f>
        <v>170172.02999999997</v>
      </c>
      <c r="K76" s="499">
        <f t="shared" ref="K76:M76" si="10">SUM(K73:K75)</f>
        <v>123409.86199999998</v>
      </c>
      <c r="L76" s="499">
        <f>SUM(L73:L75)</f>
        <v>148067.986</v>
      </c>
      <c r="M76" s="500">
        <f t="shared" si="10"/>
        <v>125403.18</v>
      </c>
      <c r="N76" s="501">
        <f>SUM(J76:M76)</f>
        <v>567053.05799999996</v>
      </c>
      <c r="O76" s="295"/>
      <c r="P76" s="492" t="s">
        <v>31</v>
      </c>
      <c r="Q76" s="499">
        <v>293499</v>
      </c>
      <c r="R76" s="499">
        <v>146460</v>
      </c>
      <c r="S76" s="499">
        <v>132540</v>
      </c>
      <c r="T76" s="502">
        <v>133832.054</v>
      </c>
      <c r="U76" s="503">
        <v>706331.054</v>
      </c>
      <c r="V76" s="197"/>
    </row>
    <row r="77" spans="1:22" ht="24.75" customHeight="1" thickBot="1" x14ac:dyDescent="0.3">
      <c r="A77" s="760" t="s">
        <v>51</v>
      </c>
      <c r="B77" s="760"/>
      <c r="C77" s="760"/>
      <c r="D77" s="761">
        <v>78</v>
      </c>
      <c r="E77" s="762"/>
      <c r="F77" s="738">
        <f>(H67+I67+H54+I54+H42+I42+H26+I26)</f>
        <v>48</v>
      </c>
      <c r="G77" s="738"/>
      <c r="H77" s="494"/>
      <c r="I77" s="504"/>
      <c r="J77" s="293"/>
      <c r="K77" s="293"/>
      <c r="L77" s="293"/>
      <c r="M77" s="293"/>
      <c r="N77" s="316"/>
      <c r="O77" s="320"/>
      <c r="P77" s="320"/>
      <c r="Q77" s="320"/>
      <c r="R77" s="320"/>
      <c r="S77" s="320"/>
      <c r="T77" s="320"/>
      <c r="U77" s="317"/>
      <c r="V77" s="197"/>
    </row>
    <row r="78" spans="1:22" ht="30" customHeight="1" thickBot="1" x14ac:dyDescent="0.3">
      <c r="A78" s="760" t="s">
        <v>52</v>
      </c>
      <c r="B78" s="760"/>
      <c r="C78" s="760"/>
      <c r="D78" s="761">
        <v>216</v>
      </c>
      <c r="E78" s="762"/>
      <c r="F78" s="763">
        <f>G26+G42+G54+G67</f>
        <v>208</v>
      </c>
      <c r="G78" s="738"/>
      <c r="H78" s="494"/>
      <c r="I78" s="768" t="s">
        <v>90</v>
      </c>
      <c r="J78" s="769"/>
      <c r="K78" s="769"/>
      <c r="L78" s="769"/>
      <c r="M78" s="769"/>
      <c r="N78" s="770"/>
      <c r="O78" s="295"/>
      <c r="P78" s="803" t="s">
        <v>147</v>
      </c>
      <c r="Q78" s="804"/>
      <c r="R78" s="804"/>
      <c r="S78" s="804"/>
      <c r="T78" s="804"/>
      <c r="U78" s="805"/>
      <c r="V78" s="197"/>
    </row>
    <row r="79" spans="1:22" ht="33.75" customHeight="1" thickBot="1" x14ac:dyDescent="0.3">
      <c r="A79" s="764" t="s">
        <v>53</v>
      </c>
      <c r="B79" s="764"/>
      <c r="C79" s="764"/>
      <c r="D79" s="765">
        <v>267699</v>
      </c>
      <c r="E79" s="766"/>
      <c r="F79" s="767">
        <f>M67+M54+M42+M26</f>
        <v>190790.52</v>
      </c>
      <c r="G79" s="767"/>
      <c r="H79" s="494"/>
      <c r="I79" s="321" t="s">
        <v>41</v>
      </c>
      <c r="J79" s="66" t="s">
        <v>42</v>
      </c>
      <c r="K79" s="67" t="s">
        <v>43</v>
      </c>
      <c r="L79" s="67" t="s">
        <v>103</v>
      </c>
      <c r="M79" s="114" t="s">
        <v>45</v>
      </c>
      <c r="N79" s="322" t="s">
        <v>31</v>
      </c>
      <c r="O79" s="295"/>
      <c r="P79" s="492" t="s">
        <v>41</v>
      </c>
      <c r="Q79" s="66" t="s">
        <v>42</v>
      </c>
      <c r="R79" s="67" t="s">
        <v>43</v>
      </c>
      <c r="S79" s="67" t="s">
        <v>44</v>
      </c>
      <c r="T79" s="68" t="s">
        <v>45</v>
      </c>
      <c r="U79" s="322" t="s">
        <v>31</v>
      </c>
      <c r="V79" s="197"/>
    </row>
    <row r="80" spans="1:22" ht="20.100000000000001" customHeight="1" thickBot="1" x14ac:dyDescent="0.3">
      <c r="A80" s="764" t="s">
        <v>54</v>
      </c>
      <c r="B80" s="764"/>
      <c r="C80" s="764"/>
      <c r="D80" s="765">
        <v>237264.26</v>
      </c>
      <c r="E80" s="766"/>
      <c r="F80" s="767">
        <f>N67+N54+N42+N26</f>
        <v>164539.32</v>
      </c>
      <c r="G80" s="767"/>
      <c r="H80" s="494"/>
      <c r="I80" s="323" t="s">
        <v>22</v>
      </c>
      <c r="J80" s="343">
        <f t="shared" ref="J80:N83" si="11">J73/Q73</f>
        <v>1.1498378666666667</v>
      </c>
      <c r="K80" s="343">
        <f t="shared" si="11"/>
        <v>0.72826086956521741</v>
      </c>
      <c r="L80" s="343">
        <f t="shared" si="11"/>
        <v>1.2777372294372296</v>
      </c>
      <c r="M80" s="344">
        <f>M73/T73</f>
        <v>0.56254948994618481</v>
      </c>
      <c r="N80" s="505">
        <f>N73/U73</f>
        <v>1.0167652223071382</v>
      </c>
      <c r="O80" s="295"/>
      <c r="P80" s="506" t="s">
        <v>47</v>
      </c>
      <c r="Q80" s="347">
        <v>3</v>
      </c>
      <c r="R80" s="348">
        <v>1</v>
      </c>
      <c r="S80" s="348">
        <v>0</v>
      </c>
      <c r="T80" s="349">
        <v>0</v>
      </c>
      <c r="U80" s="350">
        <v>4</v>
      </c>
      <c r="V80" s="197"/>
    </row>
    <row r="81" spans="1:22" ht="20.100000000000001" customHeight="1" thickBot="1" x14ac:dyDescent="0.3">
      <c r="A81" s="764" t="s">
        <v>55</v>
      </c>
      <c r="B81" s="764"/>
      <c r="C81" s="764"/>
      <c r="D81" s="765">
        <v>-23726.425999999999</v>
      </c>
      <c r="E81" s="766"/>
      <c r="F81" s="767">
        <f>(N68+N55+N43+N27)</f>
        <v>-16453.932000000001</v>
      </c>
      <c r="G81" s="767"/>
      <c r="H81" s="494"/>
      <c r="I81" s="507" t="s">
        <v>48</v>
      </c>
      <c r="J81" s="343">
        <f t="shared" si="11"/>
        <v>1.2666666666666666</v>
      </c>
      <c r="K81" s="343">
        <f t="shared" si="11"/>
        <v>0.83647798742138368</v>
      </c>
      <c r="L81" s="343">
        <f t="shared" si="11"/>
        <v>0.88738738738738743</v>
      </c>
      <c r="M81" s="344">
        <f t="shared" si="11"/>
        <v>1.2222222222222223</v>
      </c>
      <c r="N81" s="505">
        <f t="shared" si="11"/>
        <v>1.0050761421319796</v>
      </c>
      <c r="O81" s="295"/>
      <c r="P81" s="508" t="s">
        <v>78</v>
      </c>
      <c r="Q81" s="352">
        <v>3</v>
      </c>
      <c r="R81" s="348">
        <v>4</v>
      </c>
      <c r="S81" s="353">
        <v>5</v>
      </c>
      <c r="T81" s="354">
        <v>1</v>
      </c>
      <c r="U81" s="350">
        <v>13</v>
      </c>
      <c r="V81" s="197"/>
    </row>
    <row r="82" spans="1:22" ht="16.5" thickBot="1" x14ac:dyDescent="0.3">
      <c r="A82" s="750" t="s">
        <v>56</v>
      </c>
      <c r="B82" s="750"/>
      <c r="C82" s="750"/>
      <c r="D82" s="751">
        <f>SUM(D79:E81)</f>
        <v>481236.83400000003</v>
      </c>
      <c r="E82" s="752"/>
      <c r="F82" s="759">
        <f>F79+F80+F81</f>
        <v>338875.90799999994</v>
      </c>
      <c r="G82" s="759"/>
      <c r="H82" s="494"/>
      <c r="I82" s="333" t="s">
        <v>50</v>
      </c>
      <c r="J82" s="343">
        <f t="shared" si="11"/>
        <v>0.44322986734808906</v>
      </c>
      <c r="K82" s="343">
        <f t="shared" si="11"/>
        <v>0.86797937895128285</v>
      </c>
      <c r="L82" s="343">
        <f t="shared" si="11"/>
        <v>0.97029230019493162</v>
      </c>
      <c r="M82" s="343">
        <f t="shared" si="11"/>
        <v>1.0687615947779072</v>
      </c>
      <c r="N82" s="505">
        <f t="shared" si="11"/>
        <v>0.70417699572846892</v>
      </c>
      <c r="O82" s="356"/>
      <c r="P82" s="509" t="s">
        <v>79</v>
      </c>
      <c r="Q82" s="352">
        <v>28</v>
      </c>
      <c r="R82" s="348">
        <v>30</v>
      </c>
      <c r="S82" s="353">
        <v>0</v>
      </c>
      <c r="T82" s="354">
        <v>20</v>
      </c>
      <c r="U82" s="350">
        <v>78</v>
      </c>
      <c r="V82" s="197"/>
    </row>
    <row r="83" spans="1:22" ht="16.5" thickBot="1" x14ac:dyDescent="0.3">
      <c r="A83" s="356"/>
      <c r="B83" s="356"/>
      <c r="C83" s="356"/>
      <c r="D83" s="356"/>
      <c r="E83" s="356"/>
      <c r="F83" s="356"/>
      <c r="G83" s="355"/>
      <c r="H83" s="355"/>
      <c r="I83" s="339" t="s">
        <v>31</v>
      </c>
      <c r="J83" s="357">
        <f t="shared" si="11"/>
        <v>0.57980446270685748</v>
      </c>
      <c r="K83" s="357">
        <f t="shared" si="11"/>
        <v>0.8426182029222995</v>
      </c>
      <c r="L83" s="357">
        <f t="shared" si="11"/>
        <v>1.1171569790252001</v>
      </c>
      <c r="M83" s="358">
        <f t="shared" si="11"/>
        <v>0.93701901937483523</v>
      </c>
      <c r="N83" s="510">
        <f t="shared" si="11"/>
        <v>0.80281484834730199</v>
      </c>
      <c r="O83" s="356"/>
      <c r="P83" s="509" t="s">
        <v>80</v>
      </c>
      <c r="Q83" s="352">
        <v>24</v>
      </c>
      <c r="R83" s="348">
        <v>48</v>
      </c>
      <c r="S83" s="353">
        <v>80</v>
      </c>
      <c r="T83" s="354">
        <v>64</v>
      </c>
      <c r="U83" s="350">
        <v>216</v>
      </c>
      <c r="V83" s="197"/>
    </row>
    <row r="84" spans="1:22" ht="16.5" thickBot="1" x14ac:dyDescent="0.3">
      <c r="A84" s="356"/>
      <c r="B84" s="799"/>
      <c r="C84" s="799"/>
      <c r="D84" s="799"/>
      <c r="E84" s="361"/>
      <c r="F84" s="361"/>
      <c r="G84" s="361"/>
      <c r="H84" s="197"/>
      <c r="I84" s="356"/>
      <c r="J84" s="356"/>
      <c r="K84" s="356"/>
      <c r="L84" s="356"/>
      <c r="M84" s="356"/>
      <c r="N84" s="356"/>
      <c r="O84" s="356"/>
      <c r="P84" s="509" t="s">
        <v>81</v>
      </c>
      <c r="Q84" s="362">
        <v>210699</v>
      </c>
      <c r="R84" s="348">
        <v>37000</v>
      </c>
      <c r="S84" s="353">
        <v>0</v>
      </c>
      <c r="T84" s="331">
        <v>20000</v>
      </c>
      <c r="U84" s="350">
        <v>267699</v>
      </c>
      <c r="V84" s="197"/>
    </row>
    <row r="85" spans="1:22" ht="16.5" thickBot="1" x14ac:dyDescent="0.3">
      <c r="A85" s="356"/>
      <c r="B85" s="197"/>
      <c r="C85" s="197"/>
      <c r="D85" s="197"/>
      <c r="E85" s="359"/>
      <c r="F85" s="197"/>
      <c r="G85" s="363"/>
      <c r="H85" s="197"/>
      <c r="I85" s="800" t="s">
        <v>84</v>
      </c>
      <c r="J85" s="801"/>
      <c r="K85" s="801"/>
      <c r="L85" s="801"/>
      <c r="M85" s="801"/>
      <c r="N85" s="802"/>
      <c r="O85" s="356"/>
      <c r="P85" s="509" t="s">
        <v>83</v>
      </c>
      <c r="Q85" s="364">
        <v>28800</v>
      </c>
      <c r="R85" s="334">
        <v>70560</v>
      </c>
      <c r="S85" s="334">
        <v>41040</v>
      </c>
      <c r="T85" s="335">
        <v>73137.834000000003</v>
      </c>
      <c r="U85" s="350">
        <v>213537.834</v>
      </c>
      <c r="V85" s="197"/>
    </row>
    <row r="86" spans="1:22" ht="32.25" thickBot="1" x14ac:dyDescent="0.3">
      <c r="A86" s="356"/>
      <c r="B86" s="197"/>
      <c r="C86" s="197"/>
      <c r="D86" s="197"/>
      <c r="E86" s="359"/>
      <c r="F86" s="197"/>
      <c r="G86" s="363"/>
      <c r="H86" s="197"/>
      <c r="I86" s="321" t="s">
        <v>41</v>
      </c>
      <c r="J86" s="66" t="s">
        <v>42</v>
      </c>
      <c r="K86" s="67" t="s">
        <v>43</v>
      </c>
      <c r="L86" s="67" t="s">
        <v>103</v>
      </c>
      <c r="M86" s="68" t="s">
        <v>45</v>
      </c>
      <c r="N86" s="322" t="s">
        <v>31</v>
      </c>
      <c r="O86" s="356"/>
      <c r="P86" s="511" t="s">
        <v>31</v>
      </c>
      <c r="Q86" s="366">
        <v>239499</v>
      </c>
      <c r="R86" s="366">
        <v>107560</v>
      </c>
      <c r="S86" s="366">
        <v>41040</v>
      </c>
      <c r="T86" s="366">
        <v>93137.834000000003</v>
      </c>
      <c r="U86" s="340">
        <v>481236.83400000003</v>
      </c>
      <c r="V86" s="197"/>
    </row>
    <row r="87" spans="1:22" x14ac:dyDescent="0.25">
      <c r="A87" s="356"/>
      <c r="B87" s="806"/>
      <c r="C87" s="806"/>
      <c r="D87" s="806"/>
      <c r="E87" s="807"/>
      <c r="F87" s="807"/>
      <c r="G87" s="807"/>
      <c r="H87" s="320"/>
      <c r="I87" s="346" t="s">
        <v>47</v>
      </c>
      <c r="J87" s="343">
        <f>0/Q80</f>
        <v>0</v>
      </c>
      <c r="K87" s="540">
        <f>1/R80</f>
        <v>1</v>
      </c>
      <c r="L87" s="348" t="e">
        <f>0/S80</f>
        <v>#DIV/0!</v>
      </c>
      <c r="M87" s="344" t="e">
        <f>0/T80</f>
        <v>#DIV/0!</v>
      </c>
      <c r="N87" s="345">
        <f>F75/D75</f>
        <v>0.5</v>
      </c>
      <c r="O87" s="356"/>
      <c r="P87" s="284"/>
      <c r="Q87" s="197"/>
      <c r="R87" s="197"/>
      <c r="S87" s="197"/>
      <c r="T87" s="197"/>
      <c r="U87" s="197"/>
      <c r="V87" s="197"/>
    </row>
    <row r="88" spans="1:22" ht="15" customHeight="1" x14ac:dyDescent="0.25">
      <c r="A88" s="356"/>
      <c r="B88" s="808"/>
      <c r="C88" s="808"/>
      <c r="D88" s="808"/>
      <c r="E88" s="809"/>
      <c r="F88" s="809"/>
      <c r="G88" s="809"/>
      <c r="H88" s="197"/>
      <c r="I88" s="351" t="s">
        <v>78</v>
      </c>
      <c r="J88" s="370">
        <f>A26/Q81</f>
        <v>1.6666666666666667</v>
      </c>
      <c r="K88" s="343">
        <f>A54/R81</f>
        <v>1</v>
      </c>
      <c r="L88" s="513">
        <f>A42/S81</f>
        <v>0.8</v>
      </c>
      <c r="M88" s="371">
        <f>A67/T81</f>
        <v>1</v>
      </c>
      <c r="N88" s="345">
        <f t="shared" ref="N88:N92" si="12">F76/D76</f>
        <v>1.0769230769230769</v>
      </c>
      <c r="O88" s="356"/>
      <c r="P88" s="284"/>
      <c r="Q88" s="197"/>
      <c r="R88" s="197"/>
      <c r="S88" s="789"/>
      <c r="T88" s="789"/>
      <c r="U88" s="197"/>
      <c r="V88" s="197"/>
    </row>
    <row r="89" spans="1:22" x14ac:dyDescent="0.25">
      <c r="A89" s="356"/>
      <c r="B89" s="356"/>
      <c r="C89" s="356"/>
      <c r="D89" s="356"/>
      <c r="E89" s="356"/>
      <c r="F89" s="356"/>
      <c r="G89" s="356"/>
      <c r="H89" s="356"/>
      <c r="I89" s="514" t="s">
        <v>79</v>
      </c>
      <c r="J89" s="370">
        <f>(H26+I26)/Q82</f>
        <v>0</v>
      </c>
      <c r="K89" s="540">
        <f>(H54+I54)/R82</f>
        <v>1.1666666666666667</v>
      </c>
      <c r="L89" s="515" t="e">
        <f>(H42+I42)/S82</f>
        <v>#DIV/0!</v>
      </c>
      <c r="M89" s="371">
        <f>(H67+I67)/T82</f>
        <v>0.65</v>
      </c>
      <c r="N89" s="345">
        <f t="shared" si="12"/>
        <v>0.61538461538461542</v>
      </c>
      <c r="O89" s="356"/>
      <c r="P89" s="284"/>
      <c r="Q89" s="197"/>
      <c r="R89" s="197"/>
      <c r="S89" s="197"/>
      <c r="T89" s="197"/>
      <c r="U89" s="197"/>
      <c r="V89" s="197"/>
    </row>
    <row r="90" spans="1:22" ht="15" customHeight="1" x14ac:dyDescent="0.25">
      <c r="A90" s="356"/>
      <c r="B90" s="356"/>
      <c r="C90" s="356"/>
      <c r="D90" s="356"/>
      <c r="E90" s="356"/>
      <c r="F90" s="356"/>
      <c r="G90" s="356"/>
      <c r="H90" s="356"/>
      <c r="I90" s="333" t="s">
        <v>80</v>
      </c>
      <c r="J90" s="370">
        <f>G26/Q83</f>
        <v>2.3333333333333335</v>
      </c>
      <c r="K90" s="343">
        <f>G54/R83</f>
        <v>1.1666666666666667</v>
      </c>
      <c r="L90" s="513">
        <f>G42/S83</f>
        <v>0.9</v>
      </c>
      <c r="M90" s="371">
        <f>G67/T83</f>
        <v>0.375</v>
      </c>
      <c r="N90" s="345">
        <f t="shared" si="12"/>
        <v>0.96296296296296291</v>
      </c>
      <c r="O90" s="356"/>
      <c r="P90" s="284"/>
      <c r="Q90" s="197"/>
      <c r="R90" s="197"/>
      <c r="S90" s="197"/>
      <c r="T90" s="197"/>
      <c r="U90" s="197"/>
      <c r="V90" s="197"/>
    </row>
    <row r="91" spans="1:22" x14ac:dyDescent="0.25">
      <c r="A91" s="356"/>
      <c r="B91" s="356"/>
      <c r="C91" s="356"/>
      <c r="D91" s="356"/>
      <c r="E91" s="356"/>
      <c r="F91" s="356"/>
      <c r="G91" s="356"/>
      <c r="H91" s="356"/>
      <c r="I91" s="333" t="s">
        <v>81</v>
      </c>
      <c r="J91" s="370">
        <f>M26/Q84</f>
        <v>0.31561445474349664</v>
      </c>
      <c r="K91" s="343">
        <f>M56/R84</f>
        <v>0.8092045945945946</v>
      </c>
      <c r="L91" s="541" t="e">
        <f>M42/S84</f>
        <v>#DIV/0!</v>
      </c>
      <c r="M91" s="371">
        <f>M67/T84</f>
        <v>3.1951070000000001</v>
      </c>
      <c r="N91" s="345">
        <f t="shared" si="12"/>
        <v>0.71270538926182014</v>
      </c>
      <c r="O91" s="356"/>
      <c r="P91" s="284"/>
      <c r="Q91" s="197"/>
      <c r="R91" s="197"/>
      <c r="S91" s="197"/>
      <c r="T91" s="197"/>
      <c r="U91" s="197"/>
      <c r="V91" s="197"/>
    </row>
    <row r="92" spans="1:22" x14ac:dyDescent="0.25">
      <c r="A92" s="356"/>
      <c r="B92" s="359" t="s">
        <v>97</v>
      </c>
      <c r="C92" s="359"/>
      <c r="D92" s="359"/>
      <c r="E92" s="361" t="s">
        <v>98</v>
      </c>
      <c r="F92" s="356"/>
      <c r="G92" s="356"/>
      <c r="H92" s="356"/>
      <c r="I92" s="516" t="s">
        <v>82</v>
      </c>
      <c r="J92" s="370">
        <f>N28/Q85</f>
        <v>1.3768562500000001</v>
      </c>
      <c r="K92" s="513">
        <f>K75/R85</f>
        <v>1.3231272959183671</v>
      </c>
      <c r="L92" s="513">
        <f>L75/S85</f>
        <v>0.97029230019493162</v>
      </c>
      <c r="M92" s="377">
        <f>N69/T85</f>
        <v>0.4872990906457525</v>
      </c>
      <c r="N92" s="345">
        <f t="shared" si="12"/>
        <v>0.69348548323291503</v>
      </c>
      <c r="O92" s="356"/>
      <c r="P92" s="284"/>
      <c r="Q92" s="197"/>
      <c r="R92" s="197"/>
      <c r="S92" s="197"/>
      <c r="T92" s="197"/>
      <c r="U92" s="197"/>
      <c r="V92" s="197"/>
    </row>
    <row r="93" spans="1:22" ht="16.5" thickBot="1" x14ac:dyDescent="0.3">
      <c r="A93" s="356"/>
      <c r="B93" s="197"/>
      <c r="C93" s="197"/>
      <c r="D93" s="197"/>
      <c r="E93" s="359"/>
      <c r="F93" s="361"/>
      <c r="G93" s="356"/>
      <c r="H93" s="356"/>
      <c r="I93" s="339" t="s">
        <v>31</v>
      </c>
      <c r="J93" s="357">
        <f>J75/Q75</f>
        <v>0.44322986734808906</v>
      </c>
      <c r="K93" s="357">
        <f>K75/R75</f>
        <v>0.86797937895128285</v>
      </c>
      <c r="L93" s="357">
        <f>L75/S75</f>
        <v>0.97029230019493162</v>
      </c>
      <c r="M93" s="357">
        <f>M75/T75</f>
        <v>1.0687615947779072</v>
      </c>
      <c r="N93" s="357">
        <f>N75/U75</f>
        <v>0.70417699572846892</v>
      </c>
      <c r="O93" s="356"/>
      <c r="P93" s="284"/>
      <c r="Q93" s="197"/>
      <c r="R93" s="197"/>
      <c r="S93" s="197"/>
      <c r="T93" s="197"/>
      <c r="U93" s="197"/>
      <c r="V93" s="197"/>
    </row>
    <row r="94" spans="1:22" x14ac:dyDescent="0.25">
      <c r="A94" s="356"/>
      <c r="B94" s="197"/>
      <c r="C94" s="197"/>
      <c r="D94" s="197"/>
      <c r="E94" s="359"/>
      <c r="F94" s="197"/>
      <c r="G94" s="356"/>
      <c r="H94" s="356"/>
      <c r="I94" s="356"/>
      <c r="J94" s="356"/>
      <c r="K94" s="356"/>
      <c r="L94" s="356"/>
      <c r="M94" s="356"/>
      <c r="N94" s="356"/>
      <c r="O94" s="356"/>
      <c r="P94" s="284"/>
      <c r="Q94" s="197"/>
      <c r="R94" s="197"/>
      <c r="S94" s="197"/>
      <c r="T94" s="197"/>
      <c r="U94" s="197"/>
      <c r="V94" s="197"/>
    </row>
    <row r="95" spans="1:22" x14ac:dyDescent="0.25">
      <c r="A95" s="356"/>
      <c r="B95" s="197"/>
      <c r="C95" s="197"/>
      <c r="D95" s="197"/>
      <c r="E95" s="359"/>
      <c r="F95" s="197"/>
      <c r="G95" s="356"/>
      <c r="H95" s="356"/>
      <c r="I95" s="201"/>
      <c r="J95" s="356"/>
      <c r="K95" s="201"/>
      <c r="L95" s="201"/>
      <c r="M95" s="201"/>
      <c r="N95" s="201"/>
      <c r="O95" s="356"/>
      <c r="P95" s="284"/>
      <c r="Q95" s="197"/>
      <c r="R95" s="197"/>
      <c r="S95" s="197"/>
      <c r="T95" s="197"/>
      <c r="U95" s="197"/>
      <c r="V95" s="197"/>
    </row>
    <row r="96" spans="1:22" x14ac:dyDescent="0.25">
      <c r="A96" s="356"/>
      <c r="B96" s="197"/>
      <c r="C96" s="197"/>
      <c r="D96" s="197"/>
      <c r="E96" s="359"/>
      <c r="F96" s="197"/>
      <c r="G96" s="356"/>
      <c r="H96" s="356"/>
      <c r="I96" s="201"/>
      <c r="J96" s="356"/>
      <c r="K96" s="201"/>
      <c r="L96" s="201"/>
      <c r="M96" s="201"/>
      <c r="N96" s="201"/>
      <c r="O96" s="356"/>
      <c r="P96" s="284"/>
      <c r="Q96" s="197"/>
      <c r="R96" s="197"/>
      <c r="S96" s="197"/>
      <c r="T96" s="197"/>
      <c r="U96" s="197"/>
      <c r="V96" s="197"/>
    </row>
    <row r="97" spans="1:22" x14ac:dyDescent="0.25">
      <c r="A97" s="356"/>
      <c r="B97" s="512" t="s">
        <v>99</v>
      </c>
      <c r="C97" s="512"/>
      <c r="D97" s="512"/>
      <c r="E97" s="317" t="s">
        <v>100</v>
      </c>
      <c r="F97" s="197"/>
      <c r="G97" s="356"/>
      <c r="H97" s="356"/>
      <c r="I97" s="442"/>
      <c r="K97" s="442"/>
      <c r="L97" s="442"/>
      <c r="M97" s="442"/>
      <c r="N97" s="442"/>
      <c r="O97" s="356"/>
      <c r="P97" s="284"/>
      <c r="Q97" s="197"/>
      <c r="R97" s="197"/>
      <c r="S97" s="197"/>
      <c r="T97" s="197"/>
      <c r="U97" s="197"/>
      <c r="V97" s="197"/>
    </row>
    <row r="98" spans="1:22" x14ac:dyDescent="0.25">
      <c r="A98" s="356"/>
      <c r="B98" s="197" t="s">
        <v>101</v>
      </c>
      <c r="C98" s="197"/>
      <c r="D98" s="197"/>
      <c r="E98" s="361" t="s">
        <v>102</v>
      </c>
      <c r="F98" s="317"/>
      <c r="G98" s="356"/>
      <c r="H98" s="356"/>
      <c r="I98" s="442"/>
      <c r="K98" s="442"/>
      <c r="L98" s="442"/>
      <c r="M98" s="442"/>
      <c r="N98" s="442"/>
      <c r="O98" s="356"/>
      <c r="P98" s="284"/>
      <c r="Q98" s="197"/>
      <c r="R98" s="197"/>
      <c r="S98" s="197"/>
      <c r="T98" s="197"/>
      <c r="U98" s="197"/>
      <c r="V98" s="197"/>
    </row>
    <row r="99" spans="1:22" x14ac:dyDescent="0.25">
      <c r="A99" s="356"/>
      <c r="B99" s="356"/>
      <c r="C99" s="356"/>
      <c r="D99" s="356"/>
      <c r="E99" s="356"/>
      <c r="F99" s="356"/>
      <c r="G99" s="356"/>
      <c r="H99" s="356"/>
      <c r="I99" s="442"/>
      <c r="K99" s="442"/>
      <c r="L99" s="442"/>
      <c r="M99" s="442"/>
      <c r="N99" s="442"/>
      <c r="O99" s="356"/>
      <c r="P99" s="284"/>
      <c r="Q99" s="197"/>
      <c r="R99" s="197"/>
      <c r="S99" s="197"/>
      <c r="T99" s="197"/>
      <c r="U99" s="197"/>
      <c r="V99" s="197"/>
    </row>
    <row r="100" spans="1:22" x14ac:dyDescent="0.25">
      <c r="A100" s="356"/>
      <c r="B100" s="201"/>
      <c r="C100" s="201"/>
      <c r="D100" s="201"/>
      <c r="E100" s="201"/>
      <c r="F100" s="201"/>
      <c r="G100" s="356"/>
      <c r="H100" s="356"/>
      <c r="I100" s="442"/>
      <c r="K100" s="442"/>
      <c r="L100" s="442"/>
      <c r="M100" s="442"/>
      <c r="N100" s="442"/>
      <c r="O100" s="356"/>
      <c r="P100" s="284"/>
      <c r="Q100" s="197"/>
      <c r="R100" s="197"/>
      <c r="S100" s="197"/>
      <c r="T100" s="197"/>
      <c r="U100" s="197"/>
      <c r="V100" s="197"/>
    </row>
    <row r="101" spans="1:22" x14ac:dyDescent="0.25">
      <c r="A101" s="356"/>
      <c r="B101" s="201"/>
      <c r="C101" s="201"/>
      <c r="D101" s="201"/>
      <c r="E101" s="201"/>
      <c r="F101" s="201"/>
      <c r="G101" s="356"/>
      <c r="H101" s="356"/>
      <c r="O101" s="356"/>
      <c r="P101" s="284"/>
      <c r="Q101" s="197"/>
      <c r="R101" s="197"/>
      <c r="S101" s="197"/>
      <c r="T101" s="197"/>
      <c r="U101" s="197"/>
      <c r="V101" s="197"/>
    </row>
    <row r="102" spans="1:22" x14ac:dyDescent="0.25">
      <c r="A102" s="356"/>
      <c r="B102" s="356"/>
      <c r="C102" s="356"/>
      <c r="D102" s="356"/>
      <c r="E102" s="356"/>
      <c r="F102" s="356"/>
      <c r="G102" s="356"/>
      <c r="H102" s="356"/>
      <c r="O102" s="356"/>
      <c r="P102" s="284"/>
      <c r="Q102" s="197"/>
      <c r="R102" s="197"/>
      <c r="S102" s="197"/>
      <c r="T102" s="197"/>
      <c r="U102" s="197"/>
      <c r="V102" s="197"/>
    </row>
    <row r="103" spans="1:22" x14ac:dyDescent="0.25">
      <c r="A103" s="356"/>
      <c r="B103" s="356"/>
      <c r="C103" s="356"/>
      <c r="D103" s="356"/>
      <c r="E103" s="356"/>
      <c r="F103" s="356"/>
      <c r="G103" s="356"/>
      <c r="H103" s="356"/>
      <c r="O103" s="201"/>
      <c r="P103" s="284"/>
      <c r="Q103" s="197"/>
      <c r="R103" s="197"/>
      <c r="S103" s="197"/>
      <c r="T103" s="197"/>
      <c r="U103" s="197"/>
      <c r="V103" s="197"/>
    </row>
    <row r="104" spans="1:22" x14ac:dyDescent="0.25">
      <c r="A104" s="201"/>
      <c r="B104" s="201"/>
      <c r="C104" s="201"/>
      <c r="D104" s="201"/>
      <c r="E104" s="201"/>
      <c r="F104" s="201"/>
      <c r="G104" s="201"/>
      <c r="H104" s="201"/>
      <c r="O104" s="201"/>
      <c r="P104" s="284"/>
      <c r="Q104" s="197"/>
      <c r="R104" s="197"/>
      <c r="S104" s="197"/>
      <c r="T104" s="197"/>
      <c r="U104" s="197"/>
      <c r="V104" s="197"/>
    </row>
    <row r="105" spans="1:22" x14ac:dyDescent="0.25">
      <c r="A105" s="201"/>
      <c r="B105" s="201"/>
      <c r="C105" s="201"/>
      <c r="D105" s="201"/>
      <c r="E105" s="201"/>
      <c r="F105" s="201"/>
      <c r="G105" s="201"/>
      <c r="H105" s="201"/>
      <c r="O105" s="201"/>
      <c r="P105" s="284"/>
      <c r="Q105" s="197"/>
      <c r="R105" s="197"/>
      <c r="S105" s="197"/>
      <c r="T105" s="197"/>
      <c r="U105" s="197"/>
      <c r="V105" s="197"/>
    </row>
    <row r="106" spans="1:22" x14ac:dyDescent="0.25">
      <c r="A106" s="201"/>
      <c r="B106" s="201"/>
      <c r="C106" s="201"/>
      <c r="D106" s="201"/>
      <c r="E106" s="201"/>
      <c r="F106" s="201"/>
      <c r="G106" s="201"/>
      <c r="H106" s="201"/>
      <c r="O106" s="201"/>
      <c r="P106" s="284"/>
      <c r="Q106" s="197"/>
      <c r="R106" s="197"/>
      <c r="S106" s="197"/>
      <c r="T106" s="197"/>
      <c r="U106" s="197"/>
      <c r="V106" s="197"/>
    </row>
    <row r="107" spans="1:22" x14ac:dyDescent="0.25">
      <c r="A107" s="201"/>
      <c r="B107" s="201"/>
      <c r="C107" s="201"/>
      <c r="D107" s="201"/>
      <c r="E107" s="201"/>
      <c r="F107" s="201"/>
      <c r="G107" s="201"/>
      <c r="H107" s="201"/>
      <c r="O107" s="201"/>
      <c r="P107" s="284"/>
      <c r="Q107" s="197"/>
      <c r="R107" s="197"/>
      <c r="S107" s="197"/>
      <c r="T107" s="197"/>
      <c r="U107" s="197"/>
      <c r="V107" s="197"/>
    </row>
    <row r="108" spans="1:22" x14ac:dyDescent="0.25">
      <c r="A108" s="201"/>
      <c r="B108" s="201"/>
      <c r="C108" s="201"/>
      <c r="D108" s="201"/>
      <c r="E108" s="201"/>
      <c r="F108" s="201"/>
      <c r="G108" s="201"/>
      <c r="H108" s="201"/>
      <c r="O108" s="201"/>
      <c r="P108" s="284"/>
      <c r="Q108" s="197"/>
      <c r="R108" s="197"/>
      <c r="S108" s="197"/>
      <c r="T108" s="197"/>
      <c r="U108" s="197"/>
    </row>
    <row r="109" spans="1:22" x14ac:dyDescent="0.25">
      <c r="A109" s="201"/>
      <c r="B109" s="201"/>
      <c r="C109" s="201"/>
      <c r="D109" s="201"/>
      <c r="E109" s="201"/>
      <c r="F109" s="201"/>
      <c r="G109" s="201"/>
      <c r="H109" s="201"/>
      <c r="O109" s="201"/>
      <c r="P109" s="284"/>
      <c r="Q109" s="197"/>
      <c r="R109" s="197"/>
      <c r="S109" s="197"/>
      <c r="T109" s="197"/>
      <c r="U109" s="197"/>
    </row>
    <row r="110" spans="1:22" x14ac:dyDescent="0.25">
      <c r="A110" s="201"/>
      <c r="B110" s="201"/>
      <c r="C110" s="201"/>
      <c r="D110" s="201"/>
      <c r="E110" s="201"/>
      <c r="F110" s="201"/>
      <c r="G110" s="201"/>
      <c r="H110" s="201"/>
      <c r="O110" s="201"/>
    </row>
    <row r="111" spans="1:22" x14ac:dyDescent="0.25">
      <c r="A111" s="201"/>
      <c r="B111" s="201"/>
      <c r="C111" s="201"/>
      <c r="D111" s="201"/>
      <c r="E111" s="201"/>
      <c r="F111" s="201"/>
      <c r="G111" s="201"/>
      <c r="H111" s="201"/>
      <c r="O111" s="201"/>
    </row>
    <row r="112" spans="1:22" x14ac:dyDescent="0.25">
      <c r="A112" s="201"/>
      <c r="B112" s="201"/>
      <c r="C112" s="201"/>
      <c r="D112" s="201"/>
      <c r="E112" s="201"/>
      <c r="F112" s="201"/>
      <c r="G112" s="201"/>
      <c r="H112" s="201"/>
      <c r="O112" s="201"/>
    </row>
    <row r="113" spans="1:15" x14ac:dyDescent="0.25">
      <c r="A113" s="201"/>
      <c r="B113" s="201"/>
      <c r="C113" s="201"/>
      <c r="D113" s="201"/>
      <c r="E113" s="201"/>
      <c r="F113" s="201"/>
      <c r="G113" s="201"/>
      <c r="H113" s="201"/>
      <c r="O113" s="201"/>
    </row>
    <row r="114" spans="1:15" x14ac:dyDescent="0.25">
      <c r="A114" s="201"/>
      <c r="B114" s="201"/>
      <c r="C114" s="201"/>
      <c r="D114" s="201"/>
      <c r="E114" s="201"/>
      <c r="F114" s="201"/>
      <c r="G114" s="201"/>
      <c r="H114" s="201"/>
      <c r="O114" s="201"/>
    </row>
    <row r="115" spans="1:15" x14ac:dyDescent="0.25">
      <c r="A115" s="201"/>
      <c r="B115" s="201"/>
      <c r="C115" s="201"/>
      <c r="D115" s="201"/>
      <c r="E115" s="201"/>
      <c r="F115" s="201"/>
      <c r="G115" s="201"/>
      <c r="H115" s="201"/>
      <c r="O115" s="201"/>
    </row>
    <row r="116" spans="1:15" x14ac:dyDescent="0.25">
      <c r="A116" s="201"/>
      <c r="B116" s="201"/>
      <c r="C116" s="201"/>
      <c r="D116" s="201"/>
      <c r="E116" s="201"/>
      <c r="F116" s="201"/>
      <c r="G116" s="201"/>
      <c r="H116" s="201"/>
      <c r="O116" s="201"/>
    </row>
    <row r="117" spans="1:15" x14ac:dyDescent="0.25">
      <c r="A117" s="201"/>
      <c r="B117" s="201"/>
      <c r="C117" s="201"/>
      <c r="D117" s="201"/>
      <c r="E117" s="201"/>
      <c r="F117" s="201"/>
      <c r="G117" s="201"/>
      <c r="H117" s="201"/>
      <c r="O117" s="201"/>
    </row>
    <row r="118" spans="1:15" x14ac:dyDescent="0.25">
      <c r="A118" s="201"/>
      <c r="B118" s="201"/>
      <c r="C118" s="201"/>
      <c r="D118" s="201"/>
      <c r="E118" s="201"/>
      <c r="F118" s="201"/>
      <c r="G118" s="201"/>
      <c r="H118" s="201"/>
      <c r="O118" s="201"/>
    </row>
    <row r="119" spans="1:15" x14ac:dyDescent="0.25">
      <c r="A119" s="201"/>
      <c r="B119" s="201"/>
      <c r="C119" s="201"/>
      <c r="D119" s="201"/>
      <c r="E119" s="201"/>
      <c r="F119" s="201"/>
      <c r="G119" s="201"/>
      <c r="H119" s="201"/>
      <c r="O119" s="201"/>
    </row>
    <row r="120" spans="1:15" x14ac:dyDescent="0.25">
      <c r="A120" s="201"/>
      <c r="B120" s="201"/>
      <c r="C120" s="201"/>
      <c r="D120" s="201"/>
      <c r="E120" s="201"/>
      <c r="F120" s="201"/>
      <c r="G120" s="201"/>
      <c r="H120" s="201"/>
      <c r="O120" s="201"/>
    </row>
    <row r="121" spans="1:15" x14ac:dyDescent="0.25">
      <c r="A121" s="201"/>
      <c r="B121" s="201"/>
      <c r="C121" s="201"/>
      <c r="D121" s="201"/>
      <c r="E121" s="201"/>
      <c r="F121" s="201"/>
      <c r="G121" s="201"/>
      <c r="H121" s="201"/>
      <c r="O121" s="201"/>
    </row>
    <row r="122" spans="1:15" x14ac:dyDescent="0.25">
      <c r="A122" s="201"/>
      <c r="B122" s="201"/>
      <c r="C122" s="201"/>
      <c r="D122" s="201"/>
      <c r="E122" s="201"/>
      <c r="F122" s="201"/>
      <c r="G122" s="201"/>
      <c r="H122" s="201"/>
      <c r="O122" s="201"/>
    </row>
    <row r="123" spans="1:15" x14ac:dyDescent="0.25">
      <c r="A123" s="201"/>
      <c r="B123" s="201"/>
      <c r="C123" s="201"/>
      <c r="D123" s="201"/>
      <c r="E123" s="201"/>
      <c r="F123" s="201"/>
      <c r="G123" s="201"/>
      <c r="H123" s="201"/>
      <c r="O123" s="201"/>
    </row>
    <row r="124" spans="1:15" x14ac:dyDescent="0.25">
      <c r="A124" s="201"/>
      <c r="B124" s="201"/>
      <c r="C124" s="201"/>
      <c r="D124" s="201"/>
      <c r="E124" s="201"/>
      <c r="F124" s="201"/>
      <c r="G124" s="201"/>
      <c r="H124" s="201"/>
      <c r="O124" s="201"/>
    </row>
    <row r="125" spans="1:15" x14ac:dyDescent="0.25">
      <c r="A125" s="201"/>
      <c r="B125" s="201"/>
      <c r="C125" s="201"/>
      <c r="D125" s="201"/>
      <c r="E125" s="201"/>
      <c r="F125" s="201"/>
      <c r="G125" s="201"/>
      <c r="H125" s="201"/>
      <c r="O125" s="201"/>
    </row>
    <row r="126" spans="1:15" x14ac:dyDescent="0.25">
      <c r="A126" s="201"/>
      <c r="B126" s="201"/>
      <c r="C126" s="201"/>
      <c r="D126" s="201"/>
      <c r="E126" s="201"/>
      <c r="F126" s="201"/>
      <c r="G126" s="201"/>
      <c r="H126" s="201"/>
      <c r="O126" s="201"/>
    </row>
    <row r="127" spans="1:15" x14ac:dyDescent="0.25">
      <c r="A127" s="201"/>
      <c r="B127" s="201"/>
      <c r="C127" s="201"/>
      <c r="D127" s="201"/>
      <c r="E127" s="201"/>
      <c r="F127" s="201"/>
      <c r="G127" s="201"/>
      <c r="H127" s="201"/>
      <c r="O127" s="201"/>
    </row>
    <row r="128" spans="1:15" x14ac:dyDescent="0.25">
      <c r="A128" s="201"/>
      <c r="B128" s="201"/>
      <c r="C128" s="201"/>
      <c r="D128" s="201"/>
      <c r="E128" s="201"/>
      <c r="F128" s="201"/>
      <c r="G128" s="201"/>
      <c r="H128" s="201"/>
      <c r="O128" s="201"/>
    </row>
    <row r="129" spans="1:15" x14ac:dyDescent="0.25">
      <c r="A129" s="201"/>
      <c r="B129" s="201"/>
      <c r="C129" s="201"/>
      <c r="D129" s="201"/>
      <c r="E129" s="201"/>
      <c r="F129" s="201"/>
      <c r="G129" s="201"/>
      <c r="H129" s="201"/>
      <c r="O129" s="201"/>
    </row>
    <row r="130" spans="1:15" x14ac:dyDescent="0.25">
      <c r="A130" s="201"/>
      <c r="B130" s="201"/>
      <c r="C130" s="201"/>
      <c r="D130" s="201"/>
      <c r="E130" s="201"/>
      <c r="F130" s="201"/>
      <c r="G130" s="201"/>
      <c r="H130" s="201"/>
      <c r="O130" s="201"/>
    </row>
    <row r="131" spans="1:15" x14ac:dyDescent="0.25">
      <c r="A131" s="201"/>
      <c r="B131" s="201"/>
      <c r="C131" s="201"/>
      <c r="D131" s="201"/>
      <c r="E131" s="201"/>
      <c r="F131" s="201"/>
      <c r="G131" s="201"/>
      <c r="H131" s="201"/>
      <c r="O131" s="201"/>
    </row>
    <row r="132" spans="1:15" x14ac:dyDescent="0.25">
      <c r="A132" s="201"/>
      <c r="B132" s="201"/>
      <c r="C132" s="201"/>
      <c r="D132" s="201"/>
      <c r="E132" s="201"/>
      <c r="F132" s="201"/>
      <c r="G132" s="201"/>
      <c r="H132" s="201"/>
      <c r="O132" s="201"/>
    </row>
    <row r="133" spans="1:15" x14ac:dyDescent="0.25">
      <c r="A133" s="201"/>
      <c r="B133" s="201"/>
      <c r="C133" s="201"/>
      <c r="D133" s="201"/>
      <c r="E133" s="201"/>
      <c r="F133" s="201"/>
      <c r="G133" s="201"/>
      <c r="H133" s="201"/>
      <c r="O133" s="201"/>
    </row>
    <row r="134" spans="1:15" x14ac:dyDescent="0.25">
      <c r="A134" s="201"/>
      <c r="B134" s="201"/>
      <c r="C134" s="201"/>
      <c r="D134" s="201"/>
      <c r="E134" s="201"/>
      <c r="F134" s="201"/>
      <c r="G134" s="201"/>
      <c r="H134" s="201"/>
      <c r="O134" s="201"/>
    </row>
    <row r="135" spans="1:15" x14ac:dyDescent="0.25">
      <c r="A135" s="201"/>
      <c r="B135" s="201"/>
      <c r="C135" s="201"/>
      <c r="D135" s="201"/>
      <c r="E135" s="201"/>
      <c r="F135" s="201"/>
      <c r="G135" s="201"/>
      <c r="H135" s="201"/>
      <c r="O135" s="201"/>
    </row>
    <row r="136" spans="1:15" x14ac:dyDescent="0.25">
      <c r="A136" s="201"/>
      <c r="B136" s="201"/>
      <c r="C136" s="201"/>
      <c r="D136" s="201"/>
      <c r="E136" s="201"/>
      <c r="F136" s="201"/>
      <c r="G136" s="201"/>
      <c r="H136" s="201"/>
      <c r="O136" s="201"/>
    </row>
    <row r="137" spans="1:15" x14ac:dyDescent="0.25">
      <c r="A137" s="201"/>
      <c r="B137" s="201"/>
      <c r="C137" s="201"/>
      <c r="D137" s="201"/>
      <c r="E137" s="201"/>
      <c r="F137" s="201"/>
      <c r="G137" s="201"/>
      <c r="H137" s="201"/>
      <c r="O137" s="201"/>
    </row>
    <row r="138" spans="1:15" x14ac:dyDescent="0.25">
      <c r="A138" s="201"/>
      <c r="B138" s="201"/>
      <c r="C138" s="201"/>
      <c r="D138" s="201"/>
      <c r="E138" s="201"/>
      <c r="F138" s="201"/>
      <c r="G138" s="201"/>
      <c r="H138" s="201"/>
      <c r="O138" s="201"/>
    </row>
    <row r="139" spans="1:15" x14ac:dyDescent="0.25">
      <c r="A139" s="201"/>
      <c r="B139" s="201"/>
      <c r="C139" s="201"/>
      <c r="D139" s="201"/>
      <c r="E139" s="201"/>
      <c r="F139" s="201"/>
      <c r="G139" s="201"/>
      <c r="H139" s="201"/>
      <c r="O139" s="201"/>
    </row>
    <row r="140" spans="1:15" x14ac:dyDescent="0.25">
      <c r="A140" s="201"/>
      <c r="B140" s="201"/>
      <c r="C140" s="201"/>
      <c r="D140" s="201"/>
      <c r="E140" s="201"/>
      <c r="F140" s="201"/>
      <c r="G140" s="201"/>
      <c r="H140" s="201"/>
      <c r="O140" s="201"/>
    </row>
    <row r="141" spans="1:15" x14ac:dyDescent="0.25">
      <c r="A141" s="201"/>
      <c r="B141" s="201"/>
      <c r="C141" s="201"/>
      <c r="D141" s="201"/>
      <c r="E141" s="201"/>
      <c r="F141" s="201"/>
      <c r="G141" s="201"/>
      <c r="H141" s="201"/>
      <c r="O141" s="201"/>
    </row>
    <row r="142" spans="1:15" x14ac:dyDescent="0.25">
      <c r="A142" s="201"/>
      <c r="B142" s="201"/>
      <c r="C142" s="201"/>
      <c r="D142" s="201"/>
      <c r="E142" s="201"/>
      <c r="F142" s="201"/>
      <c r="G142" s="201"/>
      <c r="H142" s="201"/>
      <c r="O142" s="201"/>
    </row>
    <row r="143" spans="1:15" x14ac:dyDescent="0.25">
      <c r="A143" s="201"/>
      <c r="B143" s="201"/>
      <c r="C143" s="201"/>
      <c r="D143" s="201"/>
      <c r="E143" s="201"/>
      <c r="F143" s="201"/>
      <c r="G143" s="201"/>
      <c r="H143" s="201"/>
      <c r="O143" s="201"/>
    </row>
    <row r="144" spans="1:15" x14ac:dyDescent="0.25">
      <c r="A144" s="201"/>
      <c r="B144" s="201"/>
      <c r="C144" s="201"/>
      <c r="D144" s="201"/>
      <c r="E144" s="201"/>
      <c r="F144" s="201"/>
      <c r="G144" s="201"/>
      <c r="H144" s="201"/>
      <c r="O144" s="442"/>
    </row>
    <row r="145" spans="1:15" x14ac:dyDescent="0.25">
      <c r="A145" s="442"/>
      <c r="B145" s="442"/>
      <c r="C145" s="442"/>
      <c r="D145" s="442"/>
      <c r="E145" s="442"/>
      <c r="F145" s="442"/>
      <c r="G145" s="442"/>
      <c r="H145" s="442"/>
      <c r="O145" s="442"/>
    </row>
    <row r="146" spans="1:15" x14ac:dyDescent="0.25">
      <c r="A146" s="442"/>
      <c r="B146" s="442"/>
      <c r="C146" s="442"/>
      <c r="D146" s="442"/>
      <c r="E146" s="442"/>
      <c r="F146" s="442"/>
      <c r="G146" s="442"/>
      <c r="H146" s="442"/>
      <c r="O146" s="442"/>
    </row>
    <row r="147" spans="1:15" x14ac:dyDescent="0.25">
      <c r="A147" s="442"/>
      <c r="B147" s="442"/>
      <c r="C147" s="442"/>
      <c r="D147" s="442"/>
      <c r="E147" s="442"/>
      <c r="F147" s="442"/>
      <c r="G147" s="442"/>
      <c r="H147" s="442"/>
      <c r="O147" s="442"/>
    </row>
    <row r="148" spans="1:15" x14ac:dyDescent="0.25">
      <c r="A148" s="442"/>
      <c r="B148" s="442"/>
      <c r="C148" s="442"/>
      <c r="D148" s="442"/>
      <c r="E148" s="442"/>
      <c r="F148" s="442"/>
      <c r="G148" s="442"/>
      <c r="H148" s="442"/>
    </row>
  </sheetData>
  <sheetProtection formatCells="0" formatColumns="0" formatRows="0" insertColumns="0" insertRows="0" insertHyperlinks="0" deleteColumns="0" deleteRows="0" sort="0" autoFilter="0" pivotTables="0"/>
  <mergeCells count="119">
    <mergeCell ref="S88:T88"/>
    <mergeCell ref="P71:U71"/>
    <mergeCell ref="A73:C73"/>
    <mergeCell ref="D73:E73"/>
    <mergeCell ref="F73:G73"/>
    <mergeCell ref="A77:C77"/>
    <mergeCell ref="D77:E77"/>
    <mergeCell ref="F77:G77"/>
    <mergeCell ref="A74:C74"/>
    <mergeCell ref="D74:E74"/>
    <mergeCell ref="F74:G74"/>
    <mergeCell ref="A75:C75"/>
    <mergeCell ref="D75:E75"/>
    <mergeCell ref="F75:G75"/>
    <mergeCell ref="A76:C76"/>
    <mergeCell ref="D76:E76"/>
    <mergeCell ref="F76:G76"/>
    <mergeCell ref="B84:D84"/>
    <mergeCell ref="I85:N85"/>
    <mergeCell ref="P78:U78"/>
    <mergeCell ref="B87:D87"/>
    <mergeCell ref="E87:G87"/>
    <mergeCell ref="B88:D88"/>
    <mergeCell ref="E88:G88"/>
    <mergeCell ref="B54:F54"/>
    <mergeCell ref="A55:G55"/>
    <mergeCell ref="A56:G56"/>
    <mergeCell ref="A44:G44"/>
    <mergeCell ref="A46:M46"/>
    <mergeCell ref="A47:A49"/>
    <mergeCell ref="D80:E80"/>
    <mergeCell ref="F80:G80"/>
    <mergeCell ref="D81:E81"/>
    <mergeCell ref="F81:G81"/>
    <mergeCell ref="B47:C48"/>
    <mergeCell ref="D47:D49"/>
    <mergeCell ref="E47:E49"/>
    <mergeCell ref="F47:F49"/>
    <mergeCell ref="G47:G49"/>
    <mergeCell ref="A59:O59"/>
    <mergeCell ref="H47:I47"/>
    <mergeCell ref="J47:J49"/>
    <mergeCell ref="M47:M49"/>
    <mergeCell ref="N47:N49"/>
    <mergeCell ref="N60:N62"/>
    <mergeCell ref="O60:O62"/>
    <mergeCell ref="H61:H62"/>
    <mergeCell ref="I61:I62"/>
    <mergeCell ref="F78:G78"/>
    <mergeCell ref="A79:C79"/>
    <mergeCell ref="D79:E79"/>
    <mergeCell ref="F79:G79"/>
    <mergeCell ref="A80:C80"/>
    <mergeCell ref="I78:N78"/>
    <mergeCell ref="A81:C81"/>
    <mergeCell ref="K60:K62"/>
    <mergeCell ref="L60:L62"/>
    <mergeCell ref="B67:F67"/>
    <mergeCell ref="A68:G68"/>
    <mergeCell ref="A69:G69"/>
    <mergeCell ref="B71:G72"/>
    <mergeCell ref="I71:N71"/>
    <mergeCell ref="A60:A62"/>
    <mergeCell ref="B60:C61"/>
    <mergeCell ref="D60:D62"/>
    <mergeCell ref="E60:E62"/>
    <mergeCell ref="F60:F62"/>
    <mergeCell ref="G60:G62"/>
    <mergeCell ref="H60:I60"/>
    <mergeCell ref="J60:J62"/>
    <mergeCell ref="M60:M62"/>
    <mergeCell ref="F15:F17"/>
    <mergeCell ref="G15:G17"/>
    <mergeCell ref="H15:I15"/>
    <mergeCell ref="J15:J17"/>
    <mergeCell ref="M15:M17"/>
    <mergeCell ref="A82:C82"/>
    <mergeCell ref="D82:E82"/>
    <mergeCell ref="N31:N33"/>
    <mergeCell ref="O31:O33"/>
    <mergeCell ref="H32:H33"/>
    <mergeCell ref="I32:I33"/>
    <mergeCell ref="A30:M30"/>
    <mergeCell ref="A31:A33"/>
    <mergeCell ref="B31:C32"/>
    <mergeCell ref="D31:D33"/>
    <mergeCell ref="E31:E33"/>
    <mergeCell ref="F31:F33"/>
    <mergeCell ref="G31:G33"/>
    <mergeCell ref="H31:I31"/>
    <mergeCell ref="J31:J33"/>
    <mergeCell ref="M31:M33"/>
    <mergeCell ref="F82:G82"/>
    <mergeCell ref="A78:C78"/>
    <mergeCell ref="D78:E78"/>
    <mergeCell ref="O47:O49"/>
    <mergeCell ref="H48:H49"/>
    <mergeCell ref="I48:I49"/>
    <mergeCell ref="L47:L49"/>
    <mergeCell ref="K47:K49"/>
    <mergeCell ref="A1:O1"/>
    <mergeCell ref="A3:O3"/>
    <mergeCell ref="A4:O4"/>
    <mergeCell ref="A6:O6"/>
    <mergeCell ref="A8:N9"/>
    <mergeCell ref="A11:O11"/>
    <mergeCell ref="B42:F42"/>
    <mergeCell ref="A43:G43"/>
    <mergeCell ref="N15:N17"/>
    <mergeCell ref="O15:O17"/>
    <mergeCell ref="I16:I17"/>
    <mergeCell ref="B26:F26"/>
    <mergeCell ref="A27:G27"/>
    <mergeCell ref="A28:G28"/>
    <mergeCell ref="A14:O14"/>
    <mergeCell ref="A15:A17"/>
    <mergeCell ref="B15:C16"/>
    <mergeCell ref="D15:D17"/>
    <mergeCell ref="E15:E17"/>
  </mergeCells>
  <conditionalFormatting sqref="J73:M75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{1CF147BD-4351-4E05-8010-1C42D099D654}</x14:id>
        </ext>
      </extLst>
    </cfRule>
  </conditionalFormatting>
  <conditionalFormatting sqref="J80:M82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{46DF1FC5-5385-403F-BA24-E16794E9DCCB}</x14:id>
        </ext>
      </extLst>
    </cfRule>
  </conditionalFormatting>
  <conditionalFormatting sqref="J87:M92"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{8610BD6F-A9DE-403B-8879-E5CFEA703CC2}</x14:id>
        </ext>
      </extLst>
    </cfRule>
  </conditionalFormatting>
  <conditionalFormatting sqref="J73:N75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{71C9E991-343C-42E3-B0B1-AACC24BED94A}</x14:id>
        </ext>
      </extLst>
    </cfRule>
    <cfRule type="colorScale" priority="15">
      <colorScale>
        <cfvo type="min"/>
        <cfvo type="max"/>
        <color rgb="FFFCFCFF"/>
        <color rgb="FF63BE7B"/>
      </colorScale>
    </cfRule>
    <cfRule type="top10" dxfId="2" priority="16" rank="5"/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7:N92">
    <cfRule type="colorScale" priority="14">
      <colorScale>
        <cfvo type="min"/>
        <cfvo type="max"/>
        <color rgb="FFFCFCFF"/>
        <color rgb="FF63BE7B"/>
      </colorScale>
    </cfRule>
  </conditionalFormatting>
  <conditionalFormatting sqref="K74">
    <cfRule type="dataBar" priority="1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{D2BEAF22-F0EC-449D-B9C8-FE7B2FC02FDA}</x14:id>
        </ext>
      </extLst>
    </cfRule>
  </conditionalFormatting>
  <conditionalFormatting sqref="N80:N82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{3DE5F9E5-3485-4056-870F-4C80F251E738}</x14:id>
        </ext>
      </extLst>
    </cfRule>
  </conditionalFormatting>
  <conditionalFormatting sqref="Q73:T75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{19BB610D-99F0-48D6-9120-78EF102483C3}</x14:id>
        </ext>
      </extLst>
    </cfRule>
  </conditionalFormatting>
  <conditionalFormatting sqref="Q80:T85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{50729238-C81E-4F36-9A2B-7F333FB712A0}</x14:id>
        </ext>
      </extLst>
    </cfRule>
  </conditionalFormatting>
  <conditionalFormatting sqref="Q86:U8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scale="42" orientation="landscape" r:id="rId1"/>
  <rowBreaks count="3" manualBreakCount="3">
    <brk id="29" max="14" man="1"/>
    <brk id="44" max="14" man="1"/>
    <brk id="70" max="1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F147BD-4351-4E05-8010-1C42D099D65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J73:M75</xm:sqref>
        </x14:conditionalFormatting>
        <x14:conditionalFormatting xmlns:xm="http://schemas.microsoft.com/office/excel/2006/main">
          <x14:cfRule type="dataBar" id="{46DF1FC5-5385-403F-BA24-E16794E9DCC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J80:M82</xm:sqref>
        </x14:conditionalFormatting>
        <x14:conditionalFormatting xmlns:xm="http://schemas.microsoft.com/office/excel/2006/main">
          <x14:cfRule type="dataBar" id="{8610BD6F-A9DE-403B-8879-E5CFEA703CC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J87:M92</xm:sqref>
        </x14:conditionalFormatting>
        <x14:conditionalFormatting xmlns:xm="http://schemas.microsoft.com/office/excel/2006/main">
          <x14:cfRule type="dataBar" id="{71C9E991-343C-42E3-B0B1-AACC24BED9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J73:N75</xm:sqref>
        </x14:conditionalFormatting>
        <x14:conditionalFormatting xmlns:xm="http://schemas.microsoft.com/office/excel/2006/main">
          <x14:cfRule type="dataBar" id="{D2BEAF22-F0EC-449D-B9C8-FE7B2FC02FD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K74</xm:sqref>
        </x14:conditionalFormatting>
        <x14:conditionalFormatting xmlns:xm="http://schemas.microsoft.com/office/excel/2006/main">
          <x14:cfRule type="dataBar" id="{3DE5F9E5-3485-4056-870F-4C80F251E73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N80:N82</xm:sqref>
        </x14:conditionalFormatting>
        <x14:conditionalFormatting xmlns:xm="http://schemas.microsoft.com/office/excel/2006/main">
          <x14:cfRule type="dataBar" id="{19BB610D-99F0-48D6-9120-78EF102483C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Q73:T75</xm:sqref>
        </x14:conditionalFormatting>
        <x14:conditionalFormatting xmlns:xm="http://schemas.microsoft.com/office/excel/2006/main">
          <x14:cfRule type="dataBar" id="{50729238-C81E-4F36-9A2B-7F333FB712A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Q80:T85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B9197-F5B0-4590-B727-37417B247A29}">
  <sheetPr>
    <pageSetUpPr fitToPage="1"/>
  </sheetPr>
  <dimension ref="A1:V150"/>
  <sheetViews>
    <sheetView tabSelected="1" zoomScale="80" zoomScaleNormal="80" zoomScaleSheetLayoutView="80" workbookViewId="0">
      <selection sqref="A1:XFD1048576"/>
    </sheetView>
  </sheetViews>
  <sheetFormatPr baseColWidth="10" defaultRowHeight="15.75" x14ac:dyDescent="0.25"/>
  <cols>
    <col min="1" max="1" width="4" style="197" customWidth="1"/>
    <col min="2" max="2" width="16" style="197" customWidth="1"/>
    <col min="3" max="3" width="43.42578125" style="197" customWidth="1"/>
    <col min="4" max="4" width="19.140625" style="197" customWidth="1"/>
    <col min="5" max="5" width="16" style="197" customWidth="1"/>
    <col min="6" max="6" width="13.140625" style="197" customWidth="1"/>
    <col min="7" max="7" width="14.28515625" style="197" customWidth="1"/>
    <col min="8" max="8" width="12" style="197" customWidth="1"/>
    <col min="9" max="9" width="18" style="197" customWidth="1"/>
    <col min="10" max="10" width="17.28515625" style="197" customWidth="1"/>
    <col min="11" max="11" width="16.7109375" style="197" customWidth="1"/>
    <col min="12" max="12" width="17.42578125" style="197" customWidth="1"/>
    <col min="13" max="13" width="17.140625" style="197" customWidth="1"/>
    <col min="14" max="14" width="18.5703125" style="197" customWidth="1"/>
    <col min="15" max="15" width="14.85546875" style="197" customWidth="1"/>
    <col min="16" max="16" width="20.42578125" style="197" customWidth="1"/>
    <col min="17" max="17" width="13.85546875" style="197" bestFit="1" customWidth="1"/>
    <col min="18" max="18" width="15" style="197" customWidth="1"/>
    <col min="19" max="19" width="13.7109375" style="197" customWidth="1"/>
    <col min="20" max="20" width="14.42578125" style="197" customWidth="1"/>
    <col min="21" max="21" width="14" style="197" customWidth="1"/>
    <col min="22" max="22" width="12.42578125" style="197" bestFit="1" customWidth="1"/>
    <col min="23" max="16384" width="11.42578125" style="197"/>
  </cols>
  <sheetData>
    <row r="1" spans="1:18" x14ac:dyDescent="0.25">
      <c r="A1" s="727" t="s">
        <v>0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</row>
    <row r="2" spans="1:18" ht="6.75" customHeight="1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</row>
    <row r="3" spans="1:18" x14ac:dyDescent="0.25">
      <c r="A3" s="653" t="s">
        <v>1</v>
      </c>
      <c r="B3" s="653"/>
      <c r="C3" s="653"/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653"/>
    </row>
    <row r="4" spans="1:18" x14ac:dyDescent="0.25">
      <c r="A4" s="653" t="s">
        <v>2</v>
      </c>
      <c r="B4" s="653"/>
      <c r="C4" s="653"/>
      <c r="D4" s="653"/>
      <c r="E4" s="653"/>
      <c r="F4" s="653"/>
      <c r="G4" s="653"/>
      <c r="H4" s="653"/>
      <c r="I4" s="653"/>
      <c r="J4" s="653"/>
      <c r="K4" s="653"/>
      <c r="L4" s="653"/>
      <c r="M4" s="653"/>
      <c r="N4" s="653"/>
      <c r="O4" s="653"/>
    </row>
    <row r="5" spans="1:18" ht="6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8" x14ac:dyDescent="0.25">
      <c r="A6" s="653" t="s">
        <v>3</v>
      </c>
      <c r="B6" s="653"/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3"/>
      <c r="O6" s="653"/>
    </row>
    <row r="7" spans="1:18" ht="8.2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8" ht="18" customHeight="1" x14ac:dyDescent="0.25">
      <c r="A8" s="728" t="s">
        <v>4</v>
      </c>
      <c r="B8" s="728"/>
      <c r="C8" s="728"/>
      <c r="D8" s="728"/>
      <c r="E8" s="728"/>
      <c r="F8" s="728"/>
      <c r="G8" s="728"/>
      <c r="H8" s="728"/>
      <c r="I8" s="728"/>
      <c r="J8" s="728"/>
      <c r="K8" s="728"/>
      <c r="L8" s="728"/>
      <c r="M8" s="728"/>
      <c r="N8" s="728"/>
      <c r="O8" s="198"/>
    </row>
    <row r="9" spans="1:18" ht="18" customHeight="1" x14ac:dyDescent="0.25">
      <c r="A9" s="728"/>
      <c r="B9" s="728"/>
      <c r="C9" s="728"/>
      <c r="D9" s="728"/>
      <c r="E9" s="728"/>
      <c r="F9" s="728"/>
      <c r="G9" s="728"/>
      <c r="H9" s="728"/>
      <c r="I9" s="728"/>
      <c r="J9" s="728"/>
      <c r="K9" s="728"/>
      <c r="L9" s="728"/>
      <c r="M9" s="728"/>
      <c r="N9" s="728"/>
      <c r="O9" s="198"/>
    </row>
    <row r="10" spans="1:18" ht="18" customHeight="1" x14ac:dyDescent="0.25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R10" s="199"/>
    </row>
    <row r="11" spans="1:18" ht="18" customHeight="1" x14ac:dyDescent="0.25">
      <c r="A11" s="729" t="s">
        <v>290</v>
      </c>
      <c r="B11" s="729"/>
      <c r="C11" s="729"/>
      <c r="D11" s="729"/>
      <c r="E11" s="729"/>
      <c r="F11" s="729"/>
      <c r="G11" s="729"/>
      <c r="H11" s="729"/>
      <c r="I11" s="729"/>
      <c r="J11" s="729"/>
      <c r="K11" s="729"/>
      <c r="L11" s="729"/>
      <c r="M11" s="729"/>
      <c r="N11" s="729"/>
      <c r="O11" s="200"/>
    </row>
    <row r="12" spans="1:18" x14ac:dyDescent="0.25">
      <c r="A12" s="201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</row>
    <row r="13" spans="1:18" ht="16.5" thickBot="1" x14ac:dyDescent="0.3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1"/>
    </row>
    <row r="14" spans="1:18" ht="15.75" customHeight="1" thickBot="1" x14ac:dyDescent="0.3">
      <c r="A14" s="796" t="s">
        <v>5</v>
      </c>
      <c r="B14" s="797"/>
      <c r="C14" s="797"/>
      <c r="D14" s="797"/>
      <c r="E14" s="797"/>
      <c r="F14" s="797"/>
      <c r="G14" s="797"/>
      <c r="H14" s="797"/>
      <c r="I14" s="797"/>
      <c r="J14" s="797"/>
      <c r="K14" s="797"/>
      <c r="L14" s="797"/>
      <c r="M14" s="797"/>
      <c r="N14" s="797"/>
      <c r="O14" s="798"/>
    </row>
    <row r="15" spans="1:18" ht="27" customHeight="1" thickBot="1" x14ac:dyDescent="0.3">
      <c r="A15" s="742" t="s">
        <v>6</v>
      </c>
      <c r="B15" s="744" t="s">
        <v>7</v>
      </c>
      <c r="C15" s="745"/>
      <c r="D15" s="733" t="s">
        <v>8</v>
      </c>
      <c r="E15" s="733" t="s">
        <v>9</v>
      </c>
      <c r="F15" s="733" t="s">
        <v>10</v>
      </c>
      <c r="G15" s="733" t="s">
        <v>28</v>
      </c>
      <c r="H15" s="744" t="s">
        <v>12</v>
      </c>
      <c r="I15" s="745"/>
      <c r="J15" s="733" t="s">
        <v>59</v>
      </c>
      <c r="K15" s="203"/>
      <c r="L15" s="203"/>
      <c r="M15" s="733" t="s">
        <v>13</v>
      </c>
      <c r="N15" s="733" t="s">
        <v>14</v>
      </c>
      <c r="O15" s="735" t="s">
        <v>15</v>
      </c>
    </row>
    <row r="16" spans="1:18" ht="12" customHeight="1" thickBot="1" x14ac:dyDescent="0.3">
      <c r="A16" s="743"/>
      <c r="B16" s="746"/>
      <c r="C16" s="747"/>
      <c r="D16" s="734"/>
      <c r="E16" s="734"/>
      <c r="F16" s="734"/>
      <c r="G16" s="748"/>
      <c r="H16" s="206" t="s">
        <v>16</v>
      </c>
      <c r="I16" s="733" t="s">
        <v>17</v>
      </c>
      <c r="J16" s="749"/>
      <c r="K16" s="207"/>
      <c r="L16" s="207"/>
      <c r="M16" s="749"/>
      <c r="N16" s="734"/>
      <c r="O16" s="736"/>
    </row>
    <row r="17" spans="1:19" ht="26.25" customHeight="1" thickBot="1" x14ac:dyDescent="0.3">
      <c r="A17" s="743"/>
      <c r="B17" s="385" t="s">
        <v>18</v>
      </c>
      <c r="C17" s="208" t="s">
        <v>19</v>
      </c>
      <c r="D17" s="753"/>
      <c r="E17" s="753"/>
      <c r="F17" s="753"/>
      <c r="G17" s="757"/>
      <c r="H17" s="204" t="s">
        <v>20</v>
      </c>
      <c r="I17" s="753"/>
      <c r="J17" s="810"/>
      <c r="K17" s="209" t="s">
        <v>21</v>
      </c>
      <c r="L17" s="209" t="s">
        <v>22</v>
      </c>
      <c r="M17" s="810"/>
      <c r="N17" s="753"/>
      <c r="O17" s="754"/>
    </row>
    <row r="18" spans="1:19" ht="34.5" customHeight="1" thickBot="1" x14ac:dyDescent="0.3">
      <c r="A18" s="814" t="s">
        <v>272</v>
      </c>
      <c r="B18" s="815"/>
      <c r="C18" s="815"/>
      <c r="D18" s="815"/>
      <c r="E18" s="815"/>
      <c r="F18" s="815"/>
      <c r="G18" s="815"/>
      <c r="H18" s="815"/>
      <c r="I18" s="815"/>
      <c r="J18" s="815"/>
      <c r="K18" s="815"/>
      <c r="L18" s="815"/>
      <c r="M18" s="815"/>
      <c r="N18" s="815"/>
      <c r="O18" s="816"/>
      <c r="P18" s="217"/>
    </row>
    <row r="19" spans="1:19" ht="99.75" hidden="1" customHeight="1" x14ac:dyDescent="0.25">
      <c r="A19" s="218">
        <v>0</v>
      </c>
      <c r="B19" s="219" t="s">
        <v>134</v>
      </c>
      <c r="C19" s="192"/>
      <c r="D19" s="220" t="s">
        <v>23</v>
      </c>
      <c r="E19" s="194"/>
      <c r="F19" s="221"/>
      <c r="G19" s="222"/>
      <c r="H19" s="222"/>
      <c r="I19" s="222">
        <v>0</v>
      </c>
      <c r="J19" s="223">
        <v>500000</v>
      </c>
      <c r="K19" s="224"/>
      <c r="L19" s="224"/>
      <c r="M19" s="224"/>
      <c r="N19" s="224"/>
      <c r="O19" s="223">
        <f>SUM(M19:N19)</f>
        <v>0</v>
      </c>
      <c r="P19" s="217"/>
      <c r="R19" s="217"/>
    </row>
    <row r="20" spans="1:19" ht="91.5" hidden="1" customHeight="1" x14ac:dyDescent="0.25">
      <c r="A20" s="210"/>
      <c r="B20" s="211"/>
      <c r="C20" s="225"/>
      <c r="D20" s="212" t="s">
        <v>23</v>
      </c>
      <c r="E20" s="193"/>
      <c r="F20" s="221"/>
      <c r="G20" s="214"/>
      <c r="H20" s="214"/>
      <c r="I20" s="214"/>
      <c r="J20" s="215"/>
      <c r="K20" s="216"/>
      <c r="L20" s="216"/>
      <c r="M20" s="216"/>
      <c r="N20" s="216"/>
      <c r="O20" s="215">
        <f>SUM(M20:N20)</f>
        <v>0</v>
      </c>
      <c r="P20" s="217"/>
    </row>
    <row r="21" spans="1:19" ht="96" hidden="1" customHeight="1" x14ac:dyDescent="0.25">
      <c r="A21" s="218"/>
      <c r="B21" s="219" t="s">
        <v>126</v>
      </c>
      <c r="C21" s="226"/>
      <c r="D21" s="220" t="s">
        <v>23</v>
      </c>
      <c r="E21" s="194"/>
      <c r="F21" s="221"/>
      <c r="G21" s="222"/>
      <c r="H21" s="222"/>
      <c r="I21" s="222"/>
      <c r="J21" s="227">
        <v>1070000</v>
      </c>
      <c r="K21" s="224"/>
      <c r="L21" s="224"/>
      <c r="M21" s="224"/>
      <c r="N21" s="224"/>
      <c r="O21" s="223">
        <f>SUM(M21:N21)</f>
        <v>0</v>
      </c>
      <c r="P21" s="217"/>
    </row>
    <row r="22" spans="1:19" ht="103.5" hidden="1" customHeight="1" thickBot="1" x14ac:dyDescent="0.3">
      <c r="A22" s="218">
        <v>0</v>
      </c>
      <c r="B22" s="219"/>
      <c r="C22" s="226"/>
      <c r="D22" s="220" t="s">
        <v>23</v>
      </c>
      <c r="E22" s="194"/>
      <c r="F22" s="221"/>
      <c r="G22" s="222"/>
      <c r="H22" s="222"/>
      <c r="I22" s="222">
        <v>0</v>
      </c>
      <c r="J22" s="223"/>
      <c r="K22" s="224"/>
      <c r="L22" s="224"/>
      <c r="M22" s="224"/>
      <c r="N22" s="224"/>
      <c r="O22" s="223">
        <f>SUM(M22:N22)</f>
        <v>0</v>
      </c>
      <c r="P22" s="217"/>
      <c r="Q22" s="217"/>
      <c r="S22" s="217"/>
    </row>
    <row r="23" spans="1:19" ht="15.75" customHeight="1" thickBot="1" x14ac:dyDescent="0.3">
      <c r="A23" s="228">
        <f>SUM(A18:A22)</f>
        <v>0</v>
      </c>
      <c r="B23" s="738" t="s">
        <v>24</v>
      </c>
      <c r="C23" s="738"/>
      <c r="D23" s="738"/>
      <c r="E23" s="738"/>
      <c r="F23" s="738"/>
      <c r="G23" s="229">
        <f t="shared" ref="G23:O23" si="0">SUM(G18:G22)</f>
        <v>0</v>
      </c>
      <c r="H23" s="229">
        <f t="shared" si="0"/>
        <v>0</v>
      </c>
      <c r="I23" s="229">
        <f t="shared" si="0"/>
        <v>0</v>
      </c>
      <c r="J23" s="229">
        <f t="shared" si="0"/>
        <v>1570000</v>
      </c>
      <c r="K23" s="229">
        <f t="shared" si="0"/>
        <v>0</v>
      </c>
      <c r="L23" s="229">
        <f t="shared" si="0"/>
        <v>0</v>
      </c>
      <c r="M23" s="229">
        <f t="shared" si="0"/>
        <v>0</v>
      </c>
      <c r="N23" s="229">
        <f t="shared" si="0"/>
        <v>0</v>
      </c>
      <c r="O23" s="229">
        <f t="shared" si="0"/>
        <v>0</v>
      </c>
      <c r="P23" s="230"/>
      <c r="Q23" s="230"/>
    </row>
    <row r="24" spans="1:19" ht="15.75" customHeight="1" thickBot="1" x14ac:dyDescent="0.3">
      <c r="A24" s="811" t="s">
        <v>25</v>
      </c>
      <c r="B24" s="812"/>
      <c r="C24" s="812"/>
      <c r="D24" s="812"/>
      <c r="E24" s="812"/>
      <c r="F24" s="812"/>
      <c r="G24" s="813"/>
      <c r="H24" s="231"/>
      <c r="I24" s="231"/>
      <c r="J24" s="232"/>
      <c r="K24" s="232"/>
      <c r="L24" s="232"/>
      <c r="M24" s="233">
        <v>0</v>
      </c>
      <c r="N24" s="233">
        <f>N23*-0.1</f>
        <v>0</v>
      </c>
      <c r="O24" s="233">
        <f>N24</f>
        <v>0</v>
      </c>
    </row>
    <row r="25" spans="1:19" ht="15.75" customHeight="1" thickBot="1" x14ac:dyDescent="0.3">
      <c r="A25" s="827" t="s">
        <v>26</v>
      </c>
      <c r="B25" s="828"/>
      <c r="C25" s="828"/>
      <c r="D25" s="828"/>
      <c r="E25" s="828"/>
      <c r="F25" s="828"/>
      <c r="G25" s="829"/>
      <c r="H25" s="234"/>
      <c r="I25" s="234"/>
      <c r="J25" s="235"/>
      <c r="K25" s="235"/>
      <c r="L25" s="235"/>
      <c r="M25" s="233">
        <f>+M23+M24</f>
        <v>0</v>
      </c>
      <c r="N25" s="233">
        <f>+N23+N24</f>
        <v>0</v>
      </c>
      <c r="O25" s="233">
        <f>+O23+O24</f>
        <v>0</v>
      </c>
    </row>
    <row r="26" spans="1:19" ht="16.5" thickBot="1" x14ac:dyDescent="0.3">
      <c r="A26" s="236"/>
      <c r="B26" s="236"/>
      <c r="C26" s="236"/>
      <c r="D26" s="236"/>
      <c r="E26" s="236"/>
      <c r="F26" s="236"/>
      <c r="G26" s="236"/>
      <c r="H26" s="237"/>
      <c r="I26" s="237"/>
      <c r="J26" s="238"/>
      <c r="K26" s="238"/>
      <c r="L26" s="238"/>
      <c r="M26" s="238"/>
      <c r="N26" s="238"/>
      <c r="O26" s="239"/>
    </row>
    <row r="27" spans="1:19" ht="16.5" customHeight="1" thickBot="1" x14ac:dyDescent="0.3">
      <c r="A27" s="821" t="s">
        <v>27</v>
      </c>
      <c r="B27" s="822"/>
      <c r="C27" s="822"/>
      <c r="D27" s="822"/>
      <c r="E27" s="822"/>
      <c r="F27" s="822"/>
      <c r="G27" s="822"/>
      <c r="H27" s="822"/>
      <c r="I27" s="822"/>
      <c r="J27" s="822"/>
      <c r="K27" s="822"/>
      <c r="L27" s="822"/>
      <c r="M27" s="822"/>
      <c r="N27" s="240"/>
      <c r="O27" s="241"/>
    </row>
    <row r="28" spans="1:19" ht="23.25" customHeight="1" thickBot="1" x14ac:dyDescent="0.3">
      <c r="A28" s="742" t="s">
        <v>6</v>
      </c>
      <c r="B28" s="744" t="s">
        <v>7</v>
      </c>
      <c r="C28" s="745"/>
      <c r="D28" s="733" t="s">
        <v>8</v>
      </c>
      <c r="E28" s="733" t="s">
        <v>9</v>
      </c>
      <c r="F28" s="733" t="s">
        <v>10</v>
      </c>
      <c r="G28" s="733" t="s">
        <v>28</v>
      </c>
      <c r="H28" s="744" t="s">
        <v>12</v>
      </c>
      <c r="I28" s="745"/>
      <c r="J28" s="733" t="s">
        <v>59</v>
      </c>
      <c r="K28" s="203"/>
      <c r="L28" s="203"/>
      <c r="M28" s="733" t="s">
        <v>13</v>
      </c>
      <c r="N28" s="733" t="s">
        <v>14</v>
      </c>
      <c r="O28" s="735" t="s">
        <v>15</v>
      </c>
    </row>
    <row r="29" spans="1:19" ht="0.75" customHeight="1" thickBot="1" x14ac:dyDescent="0.3">
      <c r="A29" s="743"/>
      <c r="B29" s="746"/>
      <c r="C29" s="747"/>
      <c r="D29" s="734"/>
      <c r="E29" s="734"/>
      <c r="F29" s="734"/>
      <c r="G29" s="748"/>
      <c r="H29" s="733" t="s">
        <v>20</v>
      </c>
      <c r="I29" s="733" t="s">
        <v>17</v>
      </c>
      <c r="J29" s="749"/>
      <c r="K29" s="207"/>
      <c r="L29" s="207"/>
      <c r="M29" s="749"/>
      <c r="N29" s="734"/>
      <c r="O29" s="736"/>
    </row>
    <row r="30" spans="1:19" ht="28.5" customHeight="1" thickBot="1" x14ac:dyDescent="0.3">
      <c r="A30" s="743"/>
      <c r="B30" s="386" t="s">
        <v>18</v>
      </c>
      <c r="C30" s="208" t="s">
        <v>19</v>
      </c>
      <c r="D30" s="753"/>
      <c r="E30" s="753"/>
      <c r="F30" s="753"/>
      <c r="G30" s="757"/>
      <c r="H30" s="753"/>
      <c r="I30" s="753"/>
      <c r="J30" s="810"/>
      <c r="K30" s="209" t="s">
        <v>21</v>
      </c>
      <c r="L30" s="209" t="s">
        <v>22</v>
      </c>
      <c r="M30" s="810"/>
      <c r="N30" s="753"/>
      <c r="O30" s="754"/>
    </row>
    <row r="31" spans="1:19" ht="104.25" customHeight="1" x14ac:dyDescent="0.25">
      <c r="A31" s="242">
        <v>1</v>
      </c>
      <c r="B31" s="220" t="s">
        <v>30</v>
      </c>
      <c r="C31" s="243" t="s">
        <v>264</v>
      </c>
      <c r="D31" s="212" t="s">
        <v>29</v>
      </c>
      <c r="E31" s="244" t="s">
        <v>257</v>
      </c>
      <c r="F31" s="245" t="s">
        <v>262</v>
      </c>
      <c r="G31" s="214">
        <v>8</v>
      </c>
      <c r="H31" s="214"/>
      <c r="I31" s="214"/>
      <c r="J31" s="215">
        <v>650000</v>
      </c>
      <c r="K31" s="215">
        <v>3900</v>
      </c>
      <c r="L31" s="246">
        <v>19425</v>
      </c>
      <c r="M31" s="215"/>
      <c r="N31" s="215">
        <v>22400</v>
      </c>
      <c r="O31" s="247">
        <f>SUM(M31:N31)</f>
        <v>22400</v>
      </c>
      <c r="P31" s="217"/>
    </row>
    <row r="32" spans="1:19" ht="93.75" customHeight="1" x14ac:dyDescent="0.25">
      <c r="A32" s="248"/>
      <c r="B32" s="576"/>
      <c r="C32" s="647" t="s">
        <v>263</v>
      </c>
      <c r="D32" s="576" t="s">
        <v>269</v>
      </c>
      <c r="E32" s="580">
        <v>45631</v>
      </c>
      <c r="F32" s="576" t="s">
        <v>203</v>
      </c>
      <c r="G32" s="581">
        <v>8</v>
      </c>
      <c r="H32" s="281"/>
      <c r="I32" s="281"/>
      <c r="J32" s="282"/>
      <c r="K32" s="282">
        <v>1300</v>
      </c>
      <c r="L32" s="282">
        <v>6475</v>
      </c>
      <c r="M32" s="282"/>
      <c r="N32" s="282"/>
      <c r="O32" s="582">
        <f>SUM(M32:N32)</f>
        <v>0</v>
      </c>
    </row>
    <row r="33" spans="1:19" ht="93.75" customHeight="1" x14ac:dyDescent="0.25">
      <c r="A33" s="248"/>
      <c r="B33" s="220"/>
      <c r="C33" s="565" t="s">
        <v>271</v>
      </c>
      <c r="D33" s="576" t="s">
        <v>29</v>
      </c>
      <c r="E33" s="251">
        <v>45636</v>
      </c>
      <c r="F33" s="220" t="s">
        <v>270</v>
      </c>
      <c r="G33" s="222">
        <v>8</v>
      </c>
      <c r="H33" s="222"/>
      <c r="I33" s="222"/>
      <c r="J33" s="223"/>
      <c r="K33" s="223">
        <v>1700</v>
      </c>
      <c r="L33" s="223">
        <v>3100</v>
      </c>
      <c r="M33" s="223"/>
      <c r="N33" s="223"/>
      <c r="O33" s="250"/>
    </row>
    <row r="34" spans="1:19" ht="173.25" x14ac:dyDescent="0.25">
      <c r="A34" s="248">
        <v>1</v>
      </c>
      <c r="B34" s="220" t="s">
        <v>30</v>
      </c>
      <c r="C34" s="249" t="s">
        <v>265</v>
      </c>
      <c r="D34" s="220" t="s">
        <v>29</v>
      </c>
      <c r="E34" s="251" t="s">
        <v>266</v>
      </c>
      <c r="F34" s="220" t="s">
        <v>206</v>
      </c>
      <c r="G34" s="222">
        <v>16</v>
      </c>
      <c r="H34" s="222"/>
      <c r="I34" s="222"/>
      <c r="J34" s="223"/>
      <c r="K34" s="223">
        <v>5200</v>
      </c>
      <c r="L34" s="223">
        <v>25900</v>
      </c>
      <c r="M34" s="223"/>
      <c r="N34" s="223">
        <v>22400</v>
      </c>
      <c r="O34" s="250">
        <f>SUM(M34:N34)</f>
        <v>22400</v>
      </c>
      <c r="P34" s="252"/>
      <c r="Q34" s="230"/>
    </row>
    <row r="35" spans="1:19" ht="47.25" hidden="1" x14ac:dyDescent="0.25">
      <c r="A35" s="253"/>
      <c r="B35" s="220" t="s">
        <v>30</v>
      </c>
      <c r="C35" s="383"/>
      <c r="D35" s="220" t="s">
        <v>29</v>
      </c>
      <c r="E35" s="220"/>
      <c r="F35" s="220"/>
      <c r="G35" s="222"/>
      <c r="H35" s="222"/>
      <c r="I35" s="222"/>
      <c r="J35" s="223"/>
      <c r="K35" s="223"/>
      <c r="L35" s="223"/>
      <c r="M35" s="223"/>
      <c r="N35" s="223"/>
      <c r="O35" s="250">
        <f t="shared" ref="O35:O36" si="1">SUM(M35:N35)</f>
        <v>0</v>
      </c>
      <c r="P35" s="217">
        <f>K35+L35+N35</f>
        <v>0</v>
      </c>
    </row>
    <row r="36" spans="1:19" ht="47.25" hidden="1" x14ac:dyDescent="0.25">
      <c r="A36" s="253"/>
      <c r="B36" s="220" t="s">
        <v>30</v>
      </c>
      <c r="C36" s="384"/>
      <c r="D36" s="220" t="s">
        <v>29</v>
      </c>
      <c r="E36" s="220"/>
      <c r="F36" s="220"/>
      <c r="G36" s="222"/>
      <c r="H36" s="222"/>
      <c r="I36" s="222"/>
      <c r="J36" s="223"/>
      <c r="K36" s="223"/>
      <c r="L36" s="223"/>
      <c r="M36" s="223"/>
      <c r="N36" s="223"/>
      <c r="O36" s="250">
        <f t="shared" si="1"/>
        <v>0</v>
      </c>
    </row>
    <row r="37" spans="1:19" ht="130.5" hidden="1" customHeight="1" x14ac:dyDescent="0.25">
      <c r="A37" s="248">
        <v>0</v>
      </c>
      <c r="B37" s="220"/>
      <c r="C37" s="249"/>
      <c r="D37" s="220" t="s">
        <v>29</v>
      </c>
      <c r="E37" s="251"/>
      <c r="F37" s="220"/>
      <c r="G37" s="222"/>
      <c r="H37" s="222"/>
      <c r="I37" s="222"/>
      <c r="J37" s="223"/>
      <c r="K37" s="223"/>
      <c r="L37" s="223"/>
      <c r="M37" s="223"/>
      <c r="N37" s="223"/>
      <c r="O37" s="250">
        <f>SUM(M37:N37)</f>
        <v>0</v>
      </c>
      <c r="P37" s="252"/>
      <c r="Q37" s="217"/>
      <c r="R37" s="217"/>
      <c r="S37" s="217"/>
    </row>
    <row r="38" spans="1:19" ht="78" hidden="1" customHeight="1" x14ac:dyDescent="0.25">
      <c r="A38" s="248"/>
      <c r="B38" s="220"/>
      <c r="C38" s="254" t="s">
        <v>115</v>
      </c>
      <c r="D38" s="220" t="s">
        <v>29</v>
      </c>
      <c r="E38" s="251">
        <v>45469</v>
      </c>
      <c r="F38" s="220" t="s">
        <v>88</v>
      </c>
      <c r="G38" s="222"/>
      <c r="H38" s="222"/>
      <c r="I38" s="222"/>
      <c r="J38" s="223"/>
      <c r="K38" s="224"/>
      <c r="L38" s="255"/>
      <c r="M38" s="223"/>
      <c r="N38" s="223"/>
      <c r="O38" s="250">
        <f>SUM(M38:N38)</f>
        <v>0</v>
      </c>
      <c r="P38" s="252"/>
      <c r="Q38" s="217"/>
      <c r="R38" s="217"/>
      <c r="S38" s="217"/>
    </row>
    <row r="39" spans="1:19" ht="63" hidden="1" x14ac:dyDescent="0.25">
      <c r="A39" s="253"/>
      <c r="B39" s="221"/>
      <c r="C39" s="195" t="s">
        <v>116</v>
      </c>
      <c r="D39" s="221" t="s">
        <v>29</v>
      </c>
      <c r="E39" s="194">
        <v>45470</v>
      </c>
      <c r="F39" s="221" t="s">
        <v>117</v>
      </c>
      <c r="G39" s="256"/>
      <c r="H39" s="257"/>
      <c r="I39" s="257"/>
      <c r="J39" s="224"/>
      <c r="K39" s="224"/>
      <c r="L39" s="255"/>
      <c r="M39" s="223"/>
      <c r="N39" s="223"/>
      <c r="O39" s="258">
        <f>SUM(M39:N39)</f>
        <v>0</v>
      </c>
      <c r="P39" s="217"/>
      <c r="Q39" s="217"/>
      <c r="R39" s="217"/>
      <c r="S39" s="217"/>
    </row>
    <row r="40" spans="1:19" ht="47.25" hidden="1" x14ac:dyDescent="0.25">
      <c r="A40" s="259"/>
      <c r="B40" s="221"/>
      <c r="C40" s="195" t="s">
        <v>123</v>
      </c>
      <c r="D40" s="221" t="s">
        <v>29</v>
      </c>
      <c r="E40" s="194">
        <v>45460</v>
      </c>
      <c r="F40" s="221" t="s">
        <v>122</v>
      </c>
      <c r="G40" s="256"/>
      <c r="H40" s="257"/>
      <c r="I40" s="257"/>
      <c r="J40" s="224"/>
      <c r="K40" s="224"/>
      <c r="L40" s="255"/>
      <c r="M40" s="223"/>
      <c r="N40" s="223"/>
      <c r="O40" s="258">
        <f>SUM(M40:N40)</f>
        <v>0</v>
      </c>
      <c r="P40" s="217"/>
      <c r="Q40" s="217"/>
      <c r="R40" s="217"/>
      <c r="S40" s="217"/>
    </row>
    <row r="41" spans="1:19" ht="15" customHeight="1" x14ac:dyDescent="0.25">
      <c r="A41" s="260">
        <f>SUM(A31:A39)</f>
        <v>2</v>
      </c>
      <c r="B41" s="730" t="s">
        <v>24</v>
      </c>
      <c r="C41" s="730"/>
      <c r="D41" s="730"/>
      <c r="E41" s="730"/>
      <c r="F41" s="730"/>
      <c r="G41" s="261">
        <f t="shared" ref="G41:L41" si="2">SUM(G31:G39)</f>
        <v>40</v>
      </c>
      <c r="H41" s="261">
        <f t="shared" si="2"/>
        <v>0</v>
      </c>
      <c r="I41" s="261">
        <f t="shared" si="2"/>
        <v>0</v>
      </c>
      <c r="J41" s="262">
        <f t="shared" si="2"/>
        <v>650000</v>
      </c>
      <c r="K41" s="262">
        <f t="shared" si="2"/>
        <v>12100</v>
      </c>
      <c r="L41" s="262">
        <f t="shared" si="2"/>
        <v>54900</v>
      </c>
      <c r="M41" s="262">
        <f>SUM(M31:M40)</f>
        <v>0</v>
      </c>
      <c r="N41" s="262">
        <f>SUM(N31:N40)</f>
        <v>44800</v>
      </c>
      <c r="O41" s="263">
        <f>SUM(O31:O40)</f>
        <v>44800</v>
      </c>
    </row>
    <row r="42" spans="1:19" ht="15" customHeight="1" x14ac:dyDescent="0.25">
      <c r="A42" s="834" t="s">
        <v>25</v>
      </c>
      <c r="B42" s="835"/>
      <c r="C42" s="835"/>
      <c r="D42" s="835"/>
      <c r="E42" s="835"/>
      <c r="F42" s="835"/>
      <c r="G42" s="836"/>
      <c r="H42" s="264"/>
      <c r="I42" s="264"/>
      <c r="J42" s="265"/>
      <c r="K42" s="266"/>
      <c r="L42" s="266"/>
      <c r="M42" s="266">
        <v>0</v>
      </c>
      <c r="N42" s="266">
        <f>0.1*-N41</f>
        <v>-4480</v>
      </c>
      <c r="O42" s="267">
        <f>SUM(N42:N42)</f>
        <v>-4480</v>
      </c>
    </row>
    <row r="43" spans="1:19" ht="15.75" customHeight="1" thickBot="1" x14ac:dyDescent="0.3">
      <c r="A43" s="823" t="s">
        <v>31</v>
      </c>
      <c r="B43" s="824"/>
      <c r="C43" s="824"/>
      <c r="D43" s="824"/>
      <c r="E43" s="824"/>
      <c r="F43" s="824"/>
      <c r="G43" s="825"/>
      <c r="H43" s="268"/>
      <c r="I43" s="268"/>
      <c r="J43" s="269"/>
      <c r="K43" s="270"/>
      <c r="L43" s="270"/>
      <c r="M43" s="270">
        <f>SUM(M41:M42)</f>
        <v>0</v>
      </c>
      <c r="N43" s="271">
        <f>+N41+N42</f>
        <v>40320</v>
      </c>
      <c r="O43" s="271">
        <f>+O41+O42</f>
        <v>40320</v>
      </c>
      <c r="P43" s="197" t="s">
        <v>121</v>
      </c>
      <c r="Q43" s="230"/>
    </row>
    <row r="44" spans="1:19" ht="16.5" thickBot="1" x14ac:dyDescent="0.3">
      <c r="A44" s="236"/>
      <c r="B44" s="236"/>
      <c r="C44" s="236"/>
      <c r="D44" s="236"/>
      <c r="E44" s="236"/>
      <c r="F44" s="236"/>
      <c r="G44" s="236"/>
      <c r="H44" s="237"/>
      <c r="I44" s="237"/>
      <c r="J44" s="238"/>
      <c r="K44" s="238"/>
      <c r="L44" s="238"/>
      <c r="M44" s="238"/>
      <c r="N44" s="238"/>
      <c r="O44" s="239"/>
    </row>
    <row r="45" spans="1:19" ht="15.75" customHeight="1" thickBot="1" x14ac:dyDescent="0.3">
      <c r="A45" s="821" t="s">
        <v>32</v>
      </c>
      <c r="B45" s="822"/>
      <c r="C45" s="822"/>
      <c r="D45" s="822"/>
      <c r="E45" s="822"/>
      <c r="F45" s="822"/>
      <c r="G45" s="822"/>
      <c r="H45" s="822"/>
      <c r="I45" s="822"/>
      <c r="J45" s="822"/>
      <c r="K45" s="822"/>
      <c r="L45" s="822"/>
      <c r="M45" s="822"/>
      <c r="N45" s="272"/>
      <c r="O45" s="273"/>
    </row>
    <row r="46" spans="1:19" ht="23.25" customHeight="1" thickBot="1" x14ac:dyDescent="0.3">
      <c r="A46" s="742" t="s">
        <v>6</v>
      </c>
      <c r="B46" s="744" t="s">
        <v>7</v>
      </c>
      <c r="C46" s="745"/>
      <c r="D46" s="733" t="s">
        <v>8</v>
      </c>
      <c r="E46" s="733" t="s">
        <v>9</v>
      </c>
      <c r="F46" s="733" t="s">
        <v>10</v>
      </c>
      <c r="G46" s="733" t="s">
        <v>28</v>
      </c>
      <c r="H46" s="744" t="s">
        <v>12</v>
      </c>
      <c r="I46" s="745"/>
      <c r="J46" s="733" t="s">
        <v>59</v>
      </c>
      <c r="K46" s="203"/>
      <c r="L46" s="203"/>
      <c r="M46" s="733" t="s">
        <v>13</v>
      </c>
      <c r="N46" s="733" t="s">
        <v>14</v>
      </c>
      <c r="O46" s="735" t="s">
        <v>15</v>
      </c>
    </row>
    <row r="47" spans="1:19" ht="2.25" customHeight="1" thickBot="1" x14ac:dyDescent="0.3">
      <c r="A47" s="743"/>
      <c r="B47" s="746"/>
      <c r="C47" s="747"/>
      <c r="D47" s="748"/>
      <c r="E47" s="748"/>
      <c r="F47" s="748"/>
      <c r="G47" s="748"/>
      <c r="H47" s="733" t="s">
        <v>20</v>
      </c>
      <c r="I47" s="733" t="s">
        <v>17</v>
      </c>
      <c r="J47" s="749"/>
      <c r="K47" s="207"/>
      <c r="L47" s="207"/>
      <c r="M47" s="749"/>
      <c r="N47" s="734"/>
      <c r="O47" s="736"/>
    </row>
    <row r="48" spans="1:19" ht="28.5" customHeight="1" thickBot="1" x14ac:dyDescent="0.3">
      <c r="A48" s="743"/>
      <c r="B48" s="385" t="s">
        <v>18</v>
      </c>
      <c r="C48" s="208" t="s">
        <v>19</v>
      </c>
      <c r="D48" s="757"/>
      <c r="E48" s="748"/>
      <c r="F48" s="748"/>
      <c r="G48" s="748"/>
      <c r="H48" s="734"/>
      <c r="I48" s="734"/>
      <c r="J48" s="749"/>
      <c r="K48" s="205" t="s">
        <v>21</v>
      </c>
      <c r="L48" s="205" t="s">
        <v>22</v>
      </c>
      <c r="M48" s="749"/>
      <c r="N48" s="734"/>
      <c r="O48" s="737"/>
    </row>
    <row r="49" spans="1:19" s="356" customFormat="1" ht="56.25" customHeight="1" x14ac:dyDescent="0.25">
      <c r="A49" s="277">
        <v>1</v>
      </c>
      <c r="B49" s="220" t="s">
        <v>164</v>
      </c>
      <c r="C49" s="192" t="s">
        <v>256</v>
      </c>
      <c r="D49" s="220" t="s">
        <v>33</v>
      </c>
      <c r="E49" s="278" t="s">
        <v>257</v>
      </c>
      <c r="F49" s="220" t="s">
        <v>166</v>
      </c>
      <c r="G49" s="222">
        <v>16</v>
      </c>
      <c r="H49" s="222">
        <v>0</v>
      </c>
      <c r="I49" s="222"/>
      <c r="J49" s="223"/>
      <c r="K49" s="575">
        <v>8500</v>
      </c>
      <c r="L49" s="575">
        <v>4600</v>
      </c>
      <c r="M49" s="575">
        <v>0</v>
      </c>
      <c r="N49" s="575">
        <v>21600</v>
      </c>
      <c r="O49" s="275">
        <f>SUM(M49:N49)</f>
        <v>21600</v>
      </c>
      <c r="P49" s="276"/>
    </row>
    <row r="50" spans="1:19" s="356" customFormat="1" ht="68.25" customHeight="1" x14ac:dyDescent="0.25">
      <c r="A50" s="274">
        <v>1</v>
      </c>
      <c r="B50" s="212" t="s">
        <v>128</v>
      </c>
      <c r="C50" s="382" t="s">
        <v>251</v>
      </c>
      <c r="D50" s="212" t="s">
        <v>33</v>
      </c>
      <c r="E50" s="278" t="s">
        <v>252</v>
      </c>
      <c r="F50" s="220" t="s">
        <v>253</v>
      </c>
      <c r="G50" s="222">
        <v>16</v>
      </c>
      <c r="H50" s="222"/>
      <c r="I50" s="222"/>
      <c r="J50" s="223">
        <v>370000</v>
      </c>
      <c r="K50" s="183">
        <v>2750</v>
      </c>
      <c r="L50" s="183">
        <v>2900</v>
      </c>
      <c r="M50" s="183">
        <v>0</v>
      </c>
      <c r="N50" s="575">
        <v>19200</v>
      </c>
      <c r="O50" s="223">
        <f>SUM(M50:N50)</f>
        <v>19200</v>
      </c>
      <c r="P50" s="820"/>
      <c r="Q50" s="820"/>
      <c r="R50" s="820"/>
      <c r="S50" s="820"/>
    </row>
    <row r="51" spans="1:19" ht="69" customHeight="1" thickBot="1" x14ac:dyDescent="0.3">
      <c r="A51" s="280">
        <v>1</v>
      </c>
      <c r="B51" s="576" t="s">
        <v>254</v>
      </c>
      <c r="C51" s="552" t="s">
        <v>255</v>
      </c>
      <c r="D51" s="220" t="s">
        <v>33</v>
      </c>
      <c r="E51" s="278" t="s">
        <v>258</v>
      </c>
      <c r="F51" s="220" t="s">
        <v>166</v>
      </c>
      <c r="G51" s="222">
        <v>24</v>
      </c>
      <c r="H51" s="222">
        <v>0</v>
      </c>
      <c r="I51" s="222">
        <v>0</v>
      </c>
      <c r="J51" s="223"/>
      <c r="K51" s="575">
        <v>8500</v>
      </c>
      <c r="L51" s="575">
        <v>4600</v>
      </c>
      <c r="M51" s="575">
        <v>0</v>
      </c>
      <c r="N51" s="575">
        <v>46800</v>
      </c>
      <c r="O51" s="275">
        <f>SUM(M51:N51)</f>
        <v>46800</v>
      </c>
      <c r="P51" s="276"/>
    </row>
    <row r="52" spans="1:19" ht="15.75" customHeight="1" thickBot="1" x14ac:dyDescent="0.3">
      <c r="A52" s="283">
        <f>SUM(A48:A51)</f>
        <v>3</v>
      </c>
      <c r="B52" s="830" t="s">
        <v>24</v>
      </c>
      <c r="C52" s="831"/>
      <c r="D52" s="831"/>
      <c r="E52" s="832"/>
      <c r="F52" s="833"/>
      <c r="G52" s="577">
        <f>SUM(G48:G51)</f>
        <v>56</v>
      </c>
      <c r="H52" s="578">
        <f>SUM(H50:H51)</f>
        <v>0</v>
      </c>
      <c r="I52" s="572">
        <f>SUM(I50:I51)</f>
        <v>0</v>
      </c>
      <c r="J52" s="572">
        <f>SUM(J50:J51)</f>
        <v>370000</v>
      </c>
      <c r="K52" s="572">
        <f>SUM(K48:K51)</f>
        <v>19750</v>
      </c>
      <c r="L52" s="572">
        <f>SUM(L48:L51)</f>
        <v>12100</v>
      </c>
      <c r="M52" s="572">
        <f>SUM(M48:M51)</f>
        <v>0</v>
      </c>
      <c r="N52" s="573">
        <f>SUM(N48:N51)</f>
        <v>87600</v>
      </c>
      <c r="O52" s="574">
        <f>SUM(O48:O51)</f>
        <v>87600</v>
      </c>
      <c r="P52" s="284"/>
    </row>
    <row r="53" spans="1:19" ht="16.5" thickBot="1" x14ac:dyDescent="0.3">
      <c r="A53" s="817" t="s">
        <v>25</v>
      </c>
      <c r="B53" s="818"/>
      <c r="C53" s="818"/>
      <c r="D53" s="818"/>
      <c r="E53" s="818"/>
      <c r="F53" s="818"/>
      <c r="G53" s="819"/>
      <c r="H53" s="548"/>
      <c r="I53" s="547"/>
      <c r="J53" s="546"/>
      <c r="K53" s="550"/>
      <c r="L53" s="549"/>
      <c r="M53" s="545">
        <v>0</v>
      </c>
      <c r="N53" s="544">
        <f>-0.1*N52</f>
        <v>-8760</v>
      </c>
      <c r="O53" s="543">
        <f>SUM(N53:N53)</f>
        <v>-8760</v>
      </c>
      <c r="P53" s="284"/>
    </row>
    <row r="54" spans="1:19" ht="16.5" thickBot="1" x14ac:dyDescent="0.3">
      <c r="A54" s="777" t="s">
        <v>31</v>
      </c>
      <c r="B54" s="778"/>
      <c r="C54" s="778"/>
      <c r="D54" s="778"/>
      <c r="E54" s="778"/>
      <c r="F54" s="778"/>
      <c r="G54" s="779"/>
      <c r="H54" s="285"/>
      <c r="I54" s="285"/>
      <c r="J54" s="286"/>
      <c r="K54" s="287"/>
      <c r="L54" s="287"/>
      <c r="M54" s="270">
        <f>SUM(M52:M53)</f>
        <v>0</v>
      </c>
      <c r="N54" s="288">
        <f>+N52+N53</f>
        <v>78840</v>
      </c>
      <c r="O54" s="271">
        <f>+O52+O53</f>
        <v>78840</v>
      </c>
      <c r="P54" s="284"/>
    </row>
    <row r="55" spans="1:19" ht="34.5" customHeight="1" thickBot="1" x14ac:dyDescent="0.3">
      <c r="A55" s="289"/>
      <c r="B55" s="289"/>
      <c r="C55" s="289"/>
      <c r="D55" s="289"/>
      <c r="E55" s="289"/>
      <c r="F55" s="289"/>
      <c r="G55" s="289"/>
      <c r="H55" s="237"/>
      <c r="I55" s="237"/>
      <c r="J55" s="238"/>
      <c r="K55" s="290"/>
      <c r="L55" s="290"/>
      <c r="M55" s="291"/>
      <c r="N55" s="292"/>
      <c r="O55" s="292"/>
    </row>
    <row r="56" spans="1:19" ht="34.5" hidden="1" customHeight="1" x14ac:dyDescent="0.25">
      <c r="A56" s="289"/>
      <c r="B56" s="289"/>
      <c r="C56" s="289"/>
      <c r="D56" s="289"/>
      <c r="E56" s="289"/>
      <c r="F56" s="289"/>
      <c r="G56" s="289"/>
      <c r="H56" s="237"/>
      <c r="I56" s="237"/>
      <c r="J56" s="238"/>
      <c r="K56" s="290"/>
      <c r="L56" s="290"/>
      <c r="M56" s="291"/>
      <c r="N56" s="292"/>
      <c r="O56" s="292"/>
    </row>
    <row r="57" spans="1:19" ht="34.5" hidden="1" customHeight="1" x14ac:dyDescent="0.25">
      <c r="A57" s="289"/>
      <c r="B57" s="289"/>
      <c r="C57" s="289"/>
      <c r="D57" s="289"/>
      <c r="E57" s="289"/>
      <c r="F57" s="289"/>
      <c r="G57" s="289"/>
      <c r="H57" s="237"/>
      <c r="I57" s="237"/>
      <c r="J57" s="238"/>
      <c r="K57" s="238"/>
      <c r="L57" s="238"/>
      <c r="M57" s="293"/>
      <c r="N57" s="293"/>
      <c r="O57" s="293"/>
    </row>
    <row r="58" spans="1:19" ht="34.5" hidden="1" customHeight="1" x14ac:dyDescent="0.25">
      <c r="A58" s="289"/>
      <c r="B58" s="289"/>
      <c r="C58" s="289"/>
      <c r="D58" s="289"/>
      <c r="E58" s="289"/>
      <c r="F58" s="289"/>
      <c r="G58" s="289"/>
      <c r="H58" s="294"/>
      <c r="I58" s="294"/>
      <c r="J58" s="293"/>
      <c r="K58" s="293"/>
      <c r="L58" s="293"/>
      <c r="M58" s="293"/>
      <c r="N58" s="293"/>
      <c r="O58" s="295"/>
    </row>
    <row r="59" spans="1:19" ht="15.75" customHeight="1" thickBot="1" x14ac:dyDescent="0.3">
      <c r="A59" s="796" t="s">
        <v>34</v>
      </c>
      <c r="B59" s="797"/>
      <c r="C59" s="797"/>
      <c r="D59" s="797"/>
      <c r="E59" s="797"/>
      <c r="F59" s="797"/>
      <c r="G59" s="797"/>
      <c r="H59" s="797"/>
      <c r="I59" s="797"/>
      <c r="J59" s="797"/>
      <c r="K59" s="797"/>
      <c r="L59" s="797"/>
      <c r="M59" s="797"/>
      <c r="N59" s="797"/>
      <c r="O59" s="798"/>
    </row>
    <row r="60" spans="1:19" ht="24.75" customHeight="1" thickBot="1" x14ac:dyDescent="0.3">
      <c r="A60" s="742" t="s">
        <v>6</v>
      </c>
      <c r="B60" s="744" t="s">
        <v>7</v>
      </c>
      <c r="C60" s="745"/>
      <c r="D60" s="733" t="s">
        <v>8</v>
      </c>
      <c r="E60" s="733" t="s">
        <v>9</v>
      </c>
      <c r="F60" s="733" t="s">
        <v>10</v>
      </c>
      <c r="G60" s="733" t="s">
        <v>35</v>
      </c>
      <c r="H60" s="744" t="s">
        <v>12</v>
      </c>
      <c r="I60" s="745"/>
      <c r="J60" s="733" t="s">
        <v>59</v>
      </c>
      <c r="K60" s="203"/>
      <c r="L60" s="203"/>
      <c r="M60" s="733" t="s">
        <v>13</v>
      </c>
      <c r="N60" s="733" t="s">
        <v>14</v>
      </c>
      <c r="O60" s="735" t="s">
        <v>36</v>
      </c>
    </row>
    <row r="61" spans="1:19" ht="16.5" thickBot="1" x14ac:dyDescent="0.3">
      <c r="A61" s="743"/>
      <c r="B61" s="746"/>
      <c r="C61" s="747"/>
      <c r="D61" s="734"/>
      <c r="E61" s="734"/>
      <c r="F61" s="734"/>
      <c r="G61" s="748"/>
      <c r="H61" s="733" t="s">
        <v>20</v>
      </c>
      <c r="I61" s="733" t="s">
        <v>17</v>
      </c>
      <c r="J61" s="749"/>
      <c r="K61" s="207"/>
      <c r="L61" s="207"/>
      <c r="M61" s="749"/>
      <c r="N61" s="734"/>
      <c r="O61" s="736"/>
    </row>
    <row r="62" spans="1:19" ht="27.75" customHeight="1" thickBot="1" x14ac:dyDescent="0.3">
      <c r="A62" s="743"/>
      <c r="B62" s="385" t="s">
        <v>18</v>
      </c>
      <c r="C62" s="208" t="s">
        <v>19</v>
      </c>
      <c r="D62" s="753"/>
      <c r="E62" s="753"/>
      <c r="F62" s="753"/>
      <c r="G62" s="757"/>
      <c r="H62" s="753"/>
      <c r="I62" s="753"/>
      <c r="J62" s="810"/>
      <c r="K62" s="209" t="s">
        <v>21</v>
      </c>
      <c r="L62" s="209" t="s">
        <v>22</v>
      </c>
      <c r="M62" s="810"/>
      <c r="N62" s="753"/>
      <c r="O62" s="754"/>
    </row>
    <row r="63" spans="1:19" ht="51" hidden="1" customHeight="1" thickBot="1" x14ac:dyDescent="0.3">
      <c r="A63" s="296"/>
      <c r="B63" s="213" t="s">
        <v>66</v>
      </c>
      <c r="C63" s="213" t="s">
        <v>135</v>
      </c>
      <c r="D63" s="213" t="s">
        <v>37</v>
      </c>
      <c r="E63" s="213"/>
      <c r="F63" s="213" t="s">
        <v>38</v>
      </c>
      <c r="G63" s="297">
        <v>0</v>
      </c>
      <c r="H63" s="297">
        <v>0</v>
      </c>
      <c r="I63" s="297">
        <v>0</v>
      </c>
      <c r="J63" s="216">
        <v>250000</v>
      </c>
      <c r="K63" s="216">
        <v>0</v>
      </c>
      <c r="L63" s="216">
        <v>0</v>
      </c>
      <c r="M63" s="216"/>
      <c r="N63" s="216">
        <v>0</v>
      </c>
      <c r="O63" s="298">
        <f t="shared" ref="O63:O68" si="3">SUM(M63:N63)</f>
        <v>0</v>
      </c>
      <c r="P63" s="217">
        <f>K63+L63+N63</f>
        <v>0</v>
      </c>
    </row>
    <row r="64" spans="1:19" s="356" customFormat="1" ht="80.25" customHeight="1" thickBot="1" x14ac:dyDescent="0.3">
      <c r="A64" s="299">
        <v>1</v>
      </c>
      <c r="B64" s="219" t="s">
        <v>250</v>
      </c>
      <c r="C64" s="192" t="s">
        <v>249</v>
      </c>
      <c r="D64" s="220" t="s">
        <v>37</v>
      </c>
      <c r="E64" s="579" t="s">
        <v>267</v>
      </c>
      <c r="F64" s="220" t="s">
        <v>268</v>
      </c>
      <c r="G64" s="222">
        <v>16</v>
      </c>
      <c r="H64" s="222">
        <v>0</v>
      </c>
      <c r="I64" s="222">
        <v>0</v>
      </c>
      <c r="J64" s="223">
        <v>0</v>
      </c>
      <c r="K64" s="223">
        <v>5000</v>
      </c>
      <c r="L64" s="223">
        <v>7875</v>
      </c>
      <c r="M64" s="223">
        <v>0</v>
      </c>
      <c r="N64" s="223">
        <v>25200</v>
      </c>
      <c r="O64" s="300">
        <f>SUM(M64:N64)</f>
        <v>25200</v>
      </c>
      <c r="P64" s="523"/>
    </row>
    <row r="65" spans="1:21" ht="51" hidden="1" customHeight="1" thickBot="1" x14ac:dyDescent="0.3">
      <c r="A65" s="299"/>
      <c r="B65" s="221" t="s">
        <v>66</v>
      </c>
      <c r="C65" s="221" t="s">
        <v>95</v>
      </c>
      <c r="D65" s="221" t="s">
        <v>37</v>
      </c>
      <c r="E65" s="221" t="s">
        <v>113</v>
      </c>
      <c r="F65" s="221" t="s">
        <v>38</v>
      </c>
      <c r="G65" s="257"/>
      <c r="H65" s="257">
        <v>0</v>
      </c>
      <c r="I65" s="257">
        <v>0</v>
      </c>
      <c r="J65" s="223"/>
      <c r="K65" s="223"/>
      <c r="L65" s="223"/>
      <c r="M65" s="223"/>
      <c r="N65" s="223"/>
      <c r="O65" s="300">
        <f>SUM(M65:N65)</f>
        <v>0</v>
      </c>
      <c r="P65" s="217"/>
    </row>
    <row r="66" spans="1:21" ht="51" hidden="1" customHeight="1" thickBot="1" x14ac:dyDescent="0.3">
      <c r="A66" s="299"/>
      <c r="B66" s="221" t="s">
        <v>66</v>
      </c>
      <c r="C66" s="221" t="s">
        <v>136</v>
      </c>
      <c r="D66" s="221" t="s">
        <v>37</v>
      </c>
      <c r="E66" s="221"/>
      <c r="F66" s="221" t="s">
        <v>96</v>
      </c>
      <c r="G66" s="257">
        <v>0</v>
      </c>
      <c r="H66" s="257">
        <v>0</v>
      </c>
      <c r="I66" s="257">
        <v>0</v>
      </c>
      <c r="J66" s="223"/>
      <c r="K66" s="223">
        <v>0</v>
      </c>
      <c r="L66" s="223">
        <v>0</v>
      </c>
      <c r="M66" s="223"/>
      <c r="N66" s="223">
        <v>0</v>
      </c>
      <c r="O66" s="300">
        <f t="shared" si="3"/>
        <v>0</v>
      </c>
      <c r="P66" s="217">
        <f>K66+L66+N66</f>
        <v>0</v>
      </c>
      <c r="R66" s="217" t="e">
        <f>P66+#REF!</f>
        <v>#REF!</v>
      </c>
      <c r="S66" s="197">
        <v>6662.5</v>
      </c>
      <c r="T66" s="197">
        <f>13125/2</f>
        <v>6562.5</v>
      </c>
      <c r="U66" s="197">
        <f>T66*2</f>
        <v>13125</v>
      </c>
    </row>
    <row r="67" spans="1:21" ht="57.75" hidden="1" customHeight="1" thickBot="1" x14ac:dyDescent="0.3">
      <c r="A67" s="299"/>
      <c r="B67" s="221" t="s">
        <v>74</v>
      </c>
      <c r="C67" s="221" t="s">
        <v>137</v>
      </c>
      <c r="D67" s="221" t="s">
        <v>37</v>
      </c>
      <c r="E67" s="194"/>
      <c r="F67" s="221" t="s">
        <v>87</v>
      </c>
      <c r="G67" s="257">
        <v>0</v>
      </c>
      <c r="H67" s="257"/>
      <c r="I67" s="257"/>
      <c r="J67" s="224">
        <v>370000</v>
      </c>
      <c r="K67" s="224">
        <v>0</v>
      </c>
      <c r="L67" s="224">
        <v>0</v>
      </c>
      <c r="M67" s="224"/>
      <c r="N67" s="224">
        <v>0</v>
      </c>
      <c r="O67" s="301">
        <f t="shared" si="3"/>
        <v>0</v>
      </c>
      <c r="P67" s="217">
        <f t="shared" ref="P67:P68" si="4">K67+L67+N67</f>
        <v>0</v>
      </c>
    </row>
    <row r="68" spans="1:21" ht="69.75" hidden="1" customHeight="1" thickBot="1" x14ac:dyDescent="0.3">
      <c r="A68" s="299"/>
      <c r="B68" s="302" t="s">
        <v>30</v>
      </c>
      <c r="C68" s="302" t="s">
        <v>138</v>
      </c>
      <c r="D68" s="302" t="s">
        <v>37</v>
      </c>
      <c r="E68" s="303"/>
      <c r="F68" s="302" t="s">
        <v>39</v>
      </c>
      <c r="G68" s="304">
        <v>0</v>
      </c>
      <c r="H68" s="304"/>
      <c r="I68" s="304"/>
      <c r="J68" s="305"/>
      <c r="K68" s="305">
        <v>0</v>
      </c>
      <c r="L68" s="305">
        <v>0</v>
      </c>
      <c r="M68" s="305"/>
      <c r="N68" s="305">
        <v>0</v>
      </c>
      <c r="O68" s="306">
        <f t="shared" si="3"/>
        <v>0</v>
      </c>
      <c r="P68" s="217">
        <f t="shared" si="4"/>
        <v>0</v>
      </c>
    </row>
    <row r="69" spans="1:21" ht="18.75" customHeight="1" thickBot="1" x14ac:dyDescent="0.3">
      <c r="A69" s="228">
        <f>SUM(A63:A68)</f>
        <v>1</v>
      </c>
      <c r="B69" s="738" t="s">
        <v>24</v>
      </c>
      <c r="C69" s="738"/>
      <c r="D69" s="738"/>
      <c r="E69" s="738"/>
      <c r="F69" s="738"/>
      <c r="G69" s="307">
        <f>SUM(G63:G68)</f>
        <v>16</v>
      </c>
      <c r="H69" s="307">
        <f t="shared" ref="H69:O69" si="5">SUM(H63:H68)</f>
        <v>0</v>
      </c>
      <c r="I69" s="307">
        <f t="shared" si="5"/>
        <v>0</v>
      </c>
      <c r="J69" s="307">
        <f t="shared" si="5"/>
        <v>620000</v>
      </c>
      <c r="K69" s="307">
        <f t="shared" si="5"/>
        <v>5000</v>
      </c>
      <c r="L69" s="307">
        <f t="shared" si="5"/>
        <v>7875</v>
      </c>
      <c r="M69" s="307">
        <f t="shared" si="5"/>
        <v>0</v>
      </c>
      <c r="N69" s="307">
        <f t="shared" si="5"/>
        <v>25200</v>
      </c>
      <c r="O69" s="307">
        <f t="shared" si="5"/>
        <v>25200</v>
      </c>
      <c r="P69" s="217"/>
    </row>
    <row r="70" spans="1:21" ht="15" customHeight="1" thickBot="1" x14ac:dyDescent="0.3">
      <c r="A70" s="811" t="s">
        <v>25</v>
      </c>
      <c r="B70" s="812"/>
      <c r="C70" s="812"/>
      <c r="D70" s="812"/>
      <c r="E70" s="812"/>
      <c r="F70" s="812"/>
      <c r="G70" s="813"/>
      <c r="H70" s="308"/>
      <c r="I70" s="308"/>
      <c r="J70" s="309"/>
      <c r="K70" s="309"/>
      <c r="L70" s="309"/>
      <c r="M70" s="310">
        <v>0</v>
      </c>
      <c r="N70" s="310">
        <f>N69*-0.1</f>
        <v>-2520</v>
      </c>
      <c r="O70" s="310">
        <f>N70</f>
        <v>-2520</v>
      </c>
      <c r="P70" s="217"/>
    </row>
    <row r="71" spans="1:21" ht="17.25" customHeight="1" thickBot="1" x14ac:dyDescent="0.3">
      <c r="A71" s="827" t="s">
        <v>26</v>
      </c>
      <c r="B71" s="828"/>
      <c r="C71" s="828"/>
      <c r="D71" s="828"/>
      <c r="E71" s="828"/>
      <c r="F71" s="828"/>
      <c r="G71" s="829"/>
      <c r="H71" s="311"/>
      <c r="I71" s="311"/>
      <c r="J71" s="312"/>
      <c r="K71" s="312"/>
      <c r="L71" s="312"/>
      <c r="M71" s="310">
        <f>SUM(M69:M70)</f>
        <v>0</v>
      </c>
      <c r="N71" s="310">
        <f>N69 +(N70)</f>
        <v>22680</v>
      </c>
      <c r="O71" s="310">
        <f>O70+O69</f>
        <v>22680</v>
      </c>
    </row>
    <row r="72" spans="1:21" ht="17.25" customHeight="1" x14ac:dyDescent="0.25">
      <c r="A72" s="313"/>
      <c r="B72" s="313"/>
      <c r="C72" s="313"/>
      <c r="D72" s="313"/>
      <c r="E72" s="313"/>
      <c r="F72" s="313"/>
      <c r="G72" s="313"/>
      <c r="H72" s="314"/>
      <c r="I72" s="314"/>
      <c r="J72" s="315"/>
      <c r="K72" s="315"/>
      <c r="L72" s="315"/>
      <c r="M72" s="316"/>
      <c r="N72" s="316"/>
      <c r="O72" s="316"/>
      <c r="P72" s="317"/>
      <c r="Q72" s="317"/>
      <c r="R72" s="317"/>
      <c r="S72" s="317"/>
      <c r="T72" s="317"/>
      <c r="U72" s="317"/>
    </row>
    <row r="73" spans="1:21" ht="17.25" customHeight="1" thickBot="1" x14ac:dyDescent="0.3">
      <c r="A73" s="318"/>
      <c r="B73" s="318"/>
      <c r="C73" s="318"/>
      <c r="D73" s="318"/>
      <c r="E73" s="318"/>
      <c r="F73" s="318"/>
      <c r="G73" s="318"/>
      <c r="H73" s="314"/>
      <c r="I73" s="319"/>
      <c r="J73" s="319"/>
      <c r="K73" s="319"/>
      <c r="L73" s="319"/>
      <c r="M73" s="319"/>
      <c r="N73" s="319"/>
      <c r="O73" s="316"/>
      <c r="P73" s="320"/>
      <c r="Q73" s="320"/>
      <c r="R73" s="320"/>
      <c r="S73" s="320"/>
      <c r="T73" s="320"/>
      <c r="U73" s="320"/>
    </row>
    <row r="74" spans="1:21" ht="17.25" customHeight="1" thickBot="1" x14ac:dyDescent="0.3">
      <c r="A74" s="827" t="s">
        <v>77</v>
      </c>
      <c r="B74" s="828"/>
      <c r="C74" s="828"/>
      <c r="D74" s="828"/>
      <c r="E74" s="828"/>
      <c r="F74" s="828"/>
      <c r="G74" s="829"/>
      <c r="H74" s="314"/>
      <c r="I74" s="794" t="s">
        <v>75</v>
      </c>
      <c r="J74" s="840"/>
      <c r="K74" s="840"/>
      <c r="L74" s="840"/>
      <c r="M74" s="840"/>
      <c r="N74" s="795"/>
      <c r="O74" s="316"/>
      <c r="P74" s="837" t="s">
        <v>129</v>
      </c>
      <c r="Q74" s="838"/>
      <c r="R74" s="838"/>
      <c r="S74" s="838"/>
      <c r="T74" s="838"/>
      <c r="U74" s="839"/>
    </row>
    <row r="75" spans="1:21" ht="48" customHeight="1" thickBot="1" x14ac:dyDescent="0.3">
      <c r="A75" s="775" t="s">
        <v>40</v>
      </c>
      <c r="B75" s="826"/>
      <c r="C75" s="776"/>
      <c r="D75" s="742" t="s">
        <v>291</v>
      </c>
      <c r="E75" s="742"/>
      <c r="F75" s="742" t="s">
        <v>292</v>
      </c>
      <c r="G75" s="742"/>
      <c r="H75" s="314"/>
      <c r="I75" s="321" t="s">
        <v>41</v>
      </c>
      <c r="J75" s="66" t="s">
        <v>42</v>
      </c>
      <c r="K75" s="67" t="s">
        <v>43</v>
      </c>
      <c r="L75" s="67" t="s">
        <v>44</v>
      </c>
      <c r="M75" s="68" t="s">
        <v>45</v>
      </c>
      <c r="N75" s="322" t="s">
        <v>31</v>
      </c>
      <c r="O75" s="316"/>
      <c r="P75" s="321" t="s">
        <v>41</v>
      </c>
      <c r="Q75" s="66" t="s">
        <v>42</v>
      </c>
      <c r="R75" s="67" t="s">
        <v>43</v>
      </c>
      <c r="S75" s="67" t="s">
        <v>44</v>
      </c>
      <c r="T75" s="68" t="s">
        <v>45</v>
      </c>
      <c r="U75" s="322" t="s">
        <v>31</v>
      </c>
    </row>
    <row r="76" spans="1:21" ht="27.75" customHeight="1" thickBot="1" x14ac:dyDescent="0.3">
      <c r="A76" s="796" t="s">
        <v>46</v>
      </c>
      <c r="B76" s="797"/>
      <c r="C76" s="798"/>
      <c r="D76" s="765">
        <v>569530</v>
      </c>
      <c r="E76" s="766"/>
      <c r="F76" s="765">
        <f>F84</f>
        <v>141840</v>
      </c>
      <c r="G76" s="766"/>
      <c r="H76" s="314"/>
      <c r="I76" s="323" t="s">
        <v>22</v>
      </c>
      <c r="J76" s="324">
        <f>L23</f>
        <v>0</v>
      </c>
      <c r="K76" s="324">
        <f>L52</f>
        <v>12100</v>
      </c>
      <c r="L76" s="324">
        <f>L41</f>
        <v>54900</v>
      </c>
      <c r="M76" s="325">
        <f>L69</f>
        <v>7875</v>
      </c>
      <c r="N76" s="326">
        <f>SUM(J76:M76)</f>
        <v>74875</v>
      </c>
      <c r="O76" s="327"/>
      <c r="P76" s="323" t="s">
        <v>22</v>
      </c>
      <c r="Q76" s="33">
        <v>62500</v>
      </c>
      <c r="R76" s="324">
        <v>23000</v>
      </c>
      <c r="S76" s="324">
        <v>61600</v>
      </c>
      <c r="T76" s="325">
        <v>14692</v>
      </c>
      <c r="U76" s="326">
        <v>161792</v>
      </c>
    </row>
    <row r="77" spans="1:21" ht="20.100000000000001" customHeight="1" thickBot="1" x14ac:dyDescent="0.3">
      <c r="A77" s="796" t="s">
        <v>47</v>
      </c>
      <c r="B77" s="797"/>
      <c r="C77" s="798"/>
      <c r="D77" s="765">
        <v>7</v>
      </c>
      <c r="E77" s="766"/>
      <c r="F77" s="827">
        <f>0</f>
        <v>0</v>
      </c>
      <c r="G77" s="829"/>
      <c r="H77" s="328"/>
      <c r="I77" s="329" t="s">
        <v>48</v>
      </c>
      <c r="J77" s="330">
        <f>K23</f>
        <v>0</v>
      </c>
      <c r="K77" s="324">
        <f>K52</f>
        <v>19750</v>
      </c>
      <c r="L77" s="330">
        <f>K41</f>
        <v>12100</v>
      </c>
      <c r="M77" s="331">
        <f>K69</f>
        <v>5000</v>
      </c>
      <c r="N77" s="332">
        <f t="shared" ref="N77:N79" si="6">SUM(J77:M77)</f>
        <v>36850</v>
      </c>
      <c r="O77" s="327"/>
      <c r="P77" s="329" t="s">
        <v>48</v>
      </c>
      <c r="Q77" s="330">
        <v>27500</v>
      </c>
      <c r="R77" s="324">
        <v>16200</v>
      </c>
      <c r="S77" s="330">
        <v>22400</v>
      </c>
      <c r="T77" s="331">
        <v>4500</v>
      </c>
      <c r="U77" s="332">
        <v>70600</v>
      </c>
    </row>
    <row r="78" spans="1:21" ht="31.5" customHeight="1" thickBot="1" x14ac:dyDescent="0.3">
      <c r="A78" s="796" t="s">
        <v>49</v>
      </c>
      <c r="B78" s="797"/>
      <c r="C78" s="798"/>
      <c r="D78" s="794">
        <v>14</v>
      </c>
      <c r="E78" s="795"/>
      <c r="F78" s="738">
        <f>(A69+A52+A41+A23)</f>
        <v>6</v>
      </c>
      <c r="G78" s="738"/>
      <c r="H78" s="328"/>
      <c r="I78" s="333" t="s">
        <v>50</v>
      </c>
      <c r="J78" s="334">
        <f>O25</f>
        <v>0</v>
      </c>
      <c r="K78" s="334">
        <f>O54</f>
        <v>78840</v>
      </c>
      <c r="L78" s="334">
        <f>O43</f>
        <v>40320</v>
      </c>
      <c r="M78" s="335">
        <f>O71</f>
        <v>22680</v>
      </c>
      <c r="N78" s="336">
        <f>SUM(J78:M78)</f>
        <v>141840</v>
      </c>
      <c r="O78" s="327"/>
      <c r="P78" s="333" t="s">
        <v>50</v>
      </c>
      <c r="Q78" s="337">
        <v>398370</v>
      </c>
      <c r="R78" s="337">
        <v>118060</v>
      </c>
      <c r="S78" s="337">
        <v>10260</v>
      </c>
      <c r="T78" s="338">
        <v>42840</v>
      </c>
      <c r="U78" s="336">
        <v>569530</v>
      </c>
    </row>
    <row r="79" spans="1:21" ht="20.100000000000001" customHeight="1" thickBot="1" x14ac:dyDescent="0.3">
      <c r="A79" s="796" t="s">
        <v>51</v>
      </c>
      <c r="B79" s="797"/>
      <c r="C79" s="798"/>
      <c r="D79" s="794">
        <v>83</v>
      </c>
      <c r="E79" s="795"/>
      <c r="F79" s="738">
        <f>(H23+I23)+(H41+I41)+(H52+I52)+(H69+I69)</f>
        <v>0</v>
      </c>
      <c r="G79" s="738"/>
      <c r="H79" s="294"/>
      <c r="I79" s="339" t="s">
        <v>31</v>
      </c>
      <c r="J79" s="340">
        <f>SUM(J76:J78)</f>
        <v>0</v>
      </c>
      <c r="K79" s="340">
        <f>SUM(K76:K78)</f>
        <v>110690</v>
      </c>
      <c r="L79" s="340">
        <f>SUM(L76:L78)</f>
        <v>107320</v>
      </c>
      <c r="M79" s="341">
        <f>SUM(M76:M78)</f>
        <v>35555</v>
      </c>
      <c r="N79" s="342">
        <f t="shared" si="6"/>
        <v>253565</v>
      </c>
      <c r="O79" s="295"/>
      <c r="P79" s="339" t="s">
        <v>31</v>
      </c>
      <c r="Q79" s="340">
        <v>488370</v>
      </c>
      <c r="R79" s="340">
        <v>157260</v>
      </c>
      <c r="S79" s="340">
        <v>94260</v>
      </c>
      <c r="T79" s="341">
        <v>62032</v>
      </c>
      <c r="U79" s="342">
        <v>801922</v>
      </c>
    </row>
    <row r="80" spans="1:21" ht="20.100000000000001" customHeight="1" thickBot="1" x14ac:dyDescent="0.3">
      <c r="A80" s="796" t="s">
        <v>52</v>
      </c>
      <c r="B80" s="797"/>
      <c r="C80" s="798"/>
      <c r="D80" s="761">
        <v>184</v>
      </c>
      <c r="E80" s="762"/>
      <c r="F80" s="763">
        <f>G23+G41+G52+G69</f>
        <v>112</v>
      </c>
      <c r="G80" s="738"/>
      <c r="H80" s="294"/>
      <c r="I80" s="844" t="s">
        <v>76</v>
      </c>
      <c r="J80" s="845"/>
      <c r="K80" s="845"/>
      <c r="L80" s="845"/>
      <c r="M80" s="845"/>
      <c r="N80" s="846"/>
      <c r="O80" s="295"/>
      <c r="P80" s="837" t="s">
        <v>293</v>
      </c>
      <c r="Q80" s="838"/>
      <c r="R80" s="838"/>
      <c r="S80" s="838"/>
      <c r="T80" s="838"/>
      <c r="U80" s="838"/>
    </row>
    <row r="81" spans="1:22" ht="31.5" customHeight="1" thickBot="1" x14ac:dyDescent="0.3">
      <c r="A81" s="850" t="s">
        <v>53</v>
      </c>
      <c r="B81" s="851"/>
      <c r="C81" s="852"/>
      <c r="D81" s="765">
        <v>354250</v>
      </c>
      <c r="E81" s="766"/>
      <c r="F81" s="767">
        <f>M69+M52+M41+M23</f>
        <v>0</v>
      </c>
      <c r="G81" s="767"/>
      <c r="H81" s="328"/>
      <c r="I81" s="321" t="s">
        <v>41</v>
      </c>
      <c r="J81" s="66" t="s">
        <v>42</v>
      </c>
      <c r="K81" s="67" t="s">
        <v>43</v>
      </c>
      <c r="L81" s="162" t="s">
        <v>44</v>
      </c>
      <c r="M81" s="114" t="s">
        <v>45</v>
      </c>
      <c r="N81" s="322" t="s">
        <v>31</v>
      </c>
      <c r="O81" s="295"/>
      <c r="P81" s="321" t="s">
        <v>41</v>
      </c>
      <c r="Q81" s="66" t="s">
        <v>42</v>
      </c>
      <c r="R81" s="67" t="s">
        <v>43</v>
      </c>
      <c r="S81" s="67" t="s">
        <v>44</v>
      </c>
      <c r="T81" s="134" t="s">
        <v>45</v>
      </c>
      <c r="U81" s="322" t="s">
        <v>31</v>
      </c>
    </row>
    <row r="82" spans="1:22" ht="20.100000000000001" customHeight="1" thickBot="1" x14ac:dyDescent="0.3">
      <c r="A82" s="850" t="s">
        <v>54</v>
      </c>
      <c r="B82" s="851"/>
      <c r="C82" s="852"/>
      <c r="D82" s="765">
        <v>239200</v>
      </c>
      <c r="E82" s="766"/>
      <c r="F82" s="767">
        <f>N23+N41+N69+N52</f>
        <v>157600</v>
      </c>
      <c r="G82" s="767"/>
      <c r="H82" s="328"/>
      <c r="I82" s="323" t="s">
        <v>22</v>
      </c>
      <c r="J82" s="343">
        <f t="shared" ref="J82:K85" si="7">J76/Q76</f>
        <v>0</v>
      </c>
      <c r="K82" s="343">
        <f t="shared" si="7"/>
        <v>0.52608695652173909</v>
      </c>
      <c r="L82" s="343">
        <f t="shared" ref="L82:N85" si="8">L76/S76</f>
        <v>0.89123376623376627</v>
      </c>
      <c r="M82" s="344">
        <f>M76/T76</f>
        <v>0.53600598965423363</v>
      </c>
      <c r="N82" s="345">
        <f t="shared" si="8"/>
        <v>0.46278555181962028</v>
      </c>
      <c r="O82" s="295"/>
      <c r="P82" s="346" t="s">
        <v>47</v>
      </c>
      <c r="Q82" s="347">
        <v>4</v>
      </c>
      <c r="R82" s="348">
        <v>1</v>
      </c>
      <c r="S82" s="348">
        <v>0</v>
      </c>
      <c r="T82" s="349">
        <v>0</v>
      </c>
      <c r="U82" s="350">
        <v>5</v>
      </c>
    </row>
    <row r="83" spans="1:22" ht="20.100000000000001" customHeight="1" thickBot="1" x14ac:dyDescent="0.3">
      <c r="A83" s="850" t="s">
        <v>55</v>
      </c>
      <c r="B83" s="851"/>
      <c r="C83" s="852"/>
      <c r="D83" s="765">
        <v>-23920</v>
      </c>
      <c r="E83" s="766"/>
      <c r="F83" s="767">
        <f>(N70+N53+N42+N24)</f>
        <v>-15760</v>
      </c>
      <c r="G83" s="767"/>
      <c r="H83" s="328"/>
      <c r="I83" s="329" t="s">
        <v>48</v>
      </c>
      <c r="J83" s="343">
        <f t="shared" si="7"/>
        <v>0</v>
      </c>
      <c r="K83" s="343">
        <f t="shared" si="7"/>
        <v>1.2191358024691359</v>
      </c>
      <c r="L83" s="343">
        <f t="shared" si="8"/>
        <v>0.5401785714285714</v>
      </c>
      <c r="M83" s="344">
        <f t="shared" ref="M83:M84" si="9">M77/T77</f>
        <v>1.1111111111111112</v>
      </c>
      <c r="N83" s="345">
        <f t="shared" si="8"/>
        <v>0.5219546742209632</v>
      </c>
      <c r="O83" s="295"/>
      <c r="P83" s="351" t="s">
        <v>78</v>
      </c>
      <c r="Q83" s="352">
        <v>5</v>
      </c>
      <c r="R83" s="348">
        <v>4</v>
      </c>
      <c r="S83" s="353">
        <v>4</v>
      </c>
      <c r="T83" s="354">
        <v>1</v>
      </c>
      <c r="U83" s="350">
        <v>14</v>
      </c>
    </row>
    <row r="84" spans="1:22" ht="20.100000000000001" customHeight="1" thickBot="1" x14ac:dyDescent="0.3">
      <c r="A84" s="841" t="s">
        <v>56</v>
      </c>
      <c r="B84" s="842"/>
      <c r="C84" s="843"/>
      <c r="D84" s="751">
        <v>569530</v>
      </c>
      <c r="E84" s="752"/>
      <c r="F84" s="759">
        <f>F81+F82+F83</f>
        <v>141840</v>
      </c>
      <c r="G84" s="759"/>
      <c r="H84" s="355"/>
      <c r="I84" s="333" t="s">
        <v>50</v>
      </c>
      <c r="J84" s="343">
        <f t="shared" si="7"/>
        <v>0</v>
      </c>
      <c r="K84" s="343">
        <f t="shared" si="7"/>
        <v>0.6677960359139421</v>
      </c>
      <c r="L84" s="343">
        <f t="shared" si="8"/>
        <v>3.9298245614035086</v>
      </c>
      <c r="M84" s="344">
        <f t="shared" si="9"/>
        <v>0.52941176470588236</v>
      </c>
      <c r="N84" s="345">
        <f t="shared" si="8"/>
        <v>0.24904746018646953</v>
      </c>
      <c r="O84" s="295"/>
      <c r="P84" s="333" t="s">
        <v>79</v>
      </c>
      <c r="Q84" s="352">
        <v>44</v>
      </c>
      <c r="R84" s="348">
        <v>25</v>
      </c>
      <c r="S84" s="353">
        <v>0</v>
      </c>
      <c r="T84" s="354">
        <v>14</v>
      </c>
      <c r="U84" s="350">
        <v>83</v>
      </c>
    </row>
    <row r="85" spans="1:22" ht="20.100000000000001" customHeight="1" thickBot="1" x14ac:dyDescent="0.3">
      <c r="A85" s="356"/>
      <c r="B85" s="356"/>
      <c r="C85" s="356"/>
      <c r="D85" s="356"/>
      <c r="E85" s="356"/>
      <c r="F85" s="356"/>
      <c r="G85" s="355"/>
      <c r="H85" s="355"/>
      <c r="I85" s="339" t="s">
        <v>31</v>
      </c>
      <c r="J85" s="357">
        <f t="shared" si="7"/>
        <v>0</v>
      </c>
      <c r="K85" s="357">
        <f t="shared" si="7"/>
        <v>0.70386620882614781</v>
      </c>
      <c r="L85" s="357">
        <f t="shared" si="8"/>
        <v>1.1385529386802462</v>
      </c>
      <c r="M85" s="358">
        <f t="shared" si="8"/>
        <v>0.57317191127160172</v>
      </c>
      <c r="N85" s="345">
        <f t="shared" si="8"/>
        <v>0.31619658769805542</v>
      </c>
      <c r="O85" s="356"/>
      <c r="P85" s="333" t="s">
        <v>80</v>
      </c>
      <c r="Q85" s="352">
        <v>56</v>
      </c>
      <c r="R85" s="348">
        <v>48</v>
      </c>
      <c r="S85" s="353">
        <v>64</v>
      </c>
      <c r="T85" s="354">
        <v>8</v>
      </c>
      <c r="U85" s="350">
        <v>176</v>
      </c>
    </row>
    <row r="86" spans="1:22" ht="16.5" thickBot="1" x14ac:dyDescent="0.3">
      <c r="A86" s="356"/>
      <c r="B86" s="799"/>
      <c r="C86" s="799"/>
      <c r="D86" s="799"/>
      <c r="E86" s="360"/>
      <c r="F86" s="361"/>
      <c r="G86" s="361"/>
      <c r="I86" s="356"/>
      <c r="J86" s="356"/>
      <c r="K86" s="356"/>
      <c r="L86" s="356"/>
      <c r="M86" s="356"/>
      <c r="N86" s="356"/>
      <c r="O86" s="356"/>
      <c r="P86" s="333" t="s">
        <v>81</v>
      </c>
      <c r="Q86" s="362">
        <v>329250</v>
      </c>
      <c r="R86" s="348">
        <v>25000</v>
      </c>
      <c r="S86" s="353">
        <v>0</v>
      </c>
      <c r="T86" s="331">
        <v>0</v>
      </c>
      <c r="U86" s="350">
        <v>354250</v>
      </c>
    </row>
    <row r="87" spans="1:22" ht="16.5" thickBot="1" x14ac:dyDescent="0.3">
      <c r="A87" s="356"/>
      <c r="E87" s="359"/>
      <c r="G87" s="363"/>
      <c r="I87" s="847" t="s">
        <v>84</v>
      </c>
      <c r="J87" s="848"/>
      <c r="K87" s="848"/>
      <c r="L87" s="848"/>
      <c r="M87" s="848"/>
      <c r="N87" s="849"/>
      <c r="O87" s="356"/>
      <c r="P87" s="333" t="s">
        <v>83</v>
      </c>
      <c r="Q87" s="364">
        <v>69120</v>
      </c>
      <c r="R87" s="334">
        <v>93060</v>
      </c>
      <c r="S87" s="334">
        <v>10260</v>
      </c>
      <c r="T87" s="335">
        <v>42840</v>
      </c>
      <c r="U87" s="350">
        <v>215280</v>
      </c>
      <c r="V87" s="217"/>
    </row>
    <row r="88" spans="1:22" ht="32.25" thickBot="1" x14ac:dyDescent="0.3">
      <c r="A88" s="356"/>
      <c r="B88" s="136" t="s">
        <v>97</v>
      </c>
      <c r="C88" s="136"/>
      <c r="D88" s="136"/>
      <c r="E88" s="43" t="s">
        <v>98</v>
      </c>
      <c r="F88" s="42"/>
      <c r="G88" s="365"/>
      <c r="I88" s="321" t="s">
        <v>41</v>
      </c>
      <c r="J88" s="66" t="s">
        <v>42</v>
      </c>
      <c r="K88" s="67" t="s">
        <v>43</v>
      </c>
      <c r="L88" s="67" t="s">
        <v>44</v>
      </c>
      <c r="M88" s="68" t="s">
        <v>45</v>
      </c>
      <c r="N88" s="322" t="s">
        <v>31</v>
      </c>
      <c r="O88" s="356"/>
      <c r="P88" s="339" t="s">
        <v>31</v>
      </c>
      <c r="Q88" s="366">
        <v>398370</v>
      </c>
      <c r="R88" s="340">
        <v>118060</v>
      </c>
      <c r="S88" s="340">
        <v>10260</v>
      </c>
      <c r="T88" s="340">
        <v>42840</v>
      </c>
      <c r="U88" s="340">
        <v>569530</v>
      </c>
    </row>
    <row r="89" spans="1:22" x14ac:dyDescent="0.25">
      <c r="A89" s="356"/>
      <c r="B89" s="44"/>
      <c r="C89" s="44"/>
      <c r="D89" s="44"/>
      <c r="E89" s="45"/>
      <c r="F89" s="43"/>
      <c r="G89" s="320"/>
      <c r="H89" s="320"/>
      <c r="I89" s="583" t="s">
        <v>47</v>
      </c>
      <c r="J89" s="387">
        <f>0/Q82</f>
        <v>0</v>
      </c>
      <c r="K89" s="540" t="e">
        <f>0/0</f>
        <v>#DIV/0!</v>
      </c>
      <c r="L89" s="347" t="e">
        <f>0/S82</f>
        <v>#DIV/0!</v>
      </c>
      <c r="M89" s="551" t="e">
        <f>(0)/T82</f>
        <v>#DIV/0!</v>
      </c>
      <c r="N89" s="368">
        <f>F77/D77</f>
        <v>0</v>
      </c>
      <c r="O89" s="356"/>
    </row>
    <row r="90" spans="1:22" x14ac:dyDescent="0.25">
      <c r="A90" s="356"/>
      <c r="B90" s="44"/>
      <c r="C90" s="44"/>
      <c r="D90" s="44"/>
      <c r="E90" s="45"/>
      <c r="F90" s="44"/>
      <c r="I90" s="584" t="s">
        <v>78</v>
      </c>
      <c r="J90" s="369">
        <f>A23/Q83</f>
        <v>0</v>
      </c>
      <c r="K90" s="367">
        <f>A52/R83</f>
        <v>0.75</v>
      </c>
      <c r="L90" s="370">
        <f>A41/S83</f>
        <v>0.5</v>
      </c>
      <c r="M90" s="371">
        <f>A69/T83</f>
        <v>1</v>
      </c>
      <c r="N90" s="372">
        <f>F78/D78</f>
        <v>0.42857142857142855</v>
      </c>
      <c r="O90" s="356"/>
    </row>
    <row r="91" spans="1:22" x14ac:dyDescent="0.25">
      <c r="A91" s="356"/>
      <c r="B91" s="44"/>
      <c r="C91" s="44"/>
      <c r="D91" s="44"/>
      <c r="E91" s="45"/>
      <c r="F91" s="44"/>
      <c r="G91" s="356"/>
      <c r="H91" s="356"/>
      <c r="I91" s="585" t="s">
        <v>79</v>
      </c>
      <c r="J91" s="369">
        <f>(H23+I23)/Q84</f>
        <v>0</v>
      </c>
      <c r="K91" s="348">
        <f>(H52+I52)/R84</f>
        <v>0</v>
      </c>
      <c r="L91" s="369" t="e">
        <f>(H41+I41)/S84</f>
        <v>#DIV/0!</v>
      </c>
      <c r="M91" s="371">
        <f>(H69+I69)/T84</f>
        <v>0</v>
      </c>
      <c r="N91" s="373">
        <f t="shared" ref="N91:N94" si="10">F79/D79</f>
        <v>0</v>
      </c>
      <c r="O91" s="356"/>
      <c r="R91" s="789"/>
      <c r="S91" s="789"/>
    </row>
    <row r="92" spans="1:22" x14ac:dyDescent="0.25">
      <c r="A92" s="356"/>
      <c r="B92" s="44"/>
      <c r="C92" s="44"/>
      <c r="D92" s="44"/>
      <c r="E92" s="45"/>
      <c r="F92" s="44"/>
      <c r="G92" s="356"/>
      <c r="H92" s="356"/>
      <c r="I92" s="585" t="s">
        <v>80</v>
      </c>
      <c r="J92" s="369">
        <f>G23/Q85</f>
        <v>0</v>
      </c>
      <c r="K92" s="367">
        <f>G52/R85</f>
        <v>1.1666666666666667</v>
      </c>
      <c r="L92" s="369">
        <f>G41/S85</f>
        <v>0.625</v>
      </c>
      <c r="M92" s="371">
        <f>G69/T85</f>
        <v>2</v>
      </c>
      <c r="N92" s="372">
        <f t="shared" si="10"/>
        <v>0.60869565217391308</v>
      </c>
      <c r="O92" s="356"/>
    </row>
    <row r="93" spans="1:22" x14ac:dyDescent="0.25">
      <c r="A93" s="356"/>
      <c r="B93" s="137" t="s">
        <v>99</v>
      </c>
      <c r="C93" s="137"/>
      <c r="D93" s="137"/>
      <c r="E93" s="138" t="s">
        <v>100</v>
      </c>
      <c r="F93" s="44"/>
      <c r="G93" s="356"/>
      <c r="H93" s="356"/>
      <c r="I93" s="585" t="s">
        <v>81</v>
      </c>
      <c r="J93" s="369">
        <f>M23/Q86</f>
        <v>0</v>
      </c>
      <c r="K93" s="367">
        <f>M52/R86</f>
        <v>0</v>
      </c>
      <c r="L93" s="369" t="e">
        <f>M41/S86</f>
        <v>#DIV/0!</v>
      </c>
      <c r="M93" s="371" t="e">
        <f>M69/T86</f>
        <v>#DIV/0!</v>
      </c>
      <c r="N93" s="374">
        <f t="shared" si="10"/>
        <v>0</v>
      </c>
      <c r="O93" s="356"/>
    </row>
    <row r="94" spans="1:22" ht="31.5" x14ac:dyDescent="0.25">
      <c r="A94" s="356"/>
      <c r="B94" s="44" t="s">
        <v>101</v>
      </c>
      <c r="C94" s="44"/>
      <c r="D94" s="44"/>
      <c r="E94" s="43" t="s">
        <v>102</v>
      </c>
      <c r="F94" s="138"/>
      <c r="G94" s="356"/>
      <c r="H94" s="356"/>
      <c r="I94" s="585" t="s">
        <v>82</v>
      </c>
      <c r="J94" s="375">
        <f>N25/Q87</f>
        <v>0</v>
      </c>
      <c r="K94" s="376">
        <f>N54/R87</f>
        <v>0.84719535783365574</v>
      </c>
      <c r="L94" s="375">
        <f>N43/S87</f>
        <v>3.9298245614035086</v>
      </c>
      <c r="M94" s="377">
        <f>N71/T87</f>
        <v>0.52941176470588236</v>
      </c>
      <c r="N94" s="378">
        <f t="shared" si="10"/>
        <v>0.65886287625418061</v>
      </c>
      <c r="O94" s="356"/>
    </row>
    <row r="95" spans="1:22" ht="16.5" thickBot="1" x14ac:dyDescent="0.3">
      <c r="A95" s="356"/>
      <c r="B95" s="356"/>
      <c r="C95" s="356"/>
      <c r="D95" s="356"/>
      <c r="E95" s="356"/>
      <c r="F95" s="356"/>
      <c r="G95" s="356"/>
      <c r="H95" s="356"/>
      <c r="I95" s="339" t="s">
        <v>31</v>
      </c>
      <c r="J95" s="379">
        <f>J79/Q88</f>
        <v>0</v>
      </c>
      <c r="K95" s="379">
        <f>O54/R88</f>
        <v>0.6677960359139421</v>
      </c>
      <c r="L95" s="379">
        <f>O43/S88</f>
        <v>3.9298245614035086</v>
      </c>
      <c r="M95" s="380">
        <f>O71/T88</f>
        <v>0.52941176470588236</v>
      </c>
      <c r="N95" s="381">
        <f>F84/U88</f>
        <v>0.24904746018646953</v>
      </c>
      <c r="O95" s="356"/>
    </row>
    <row r="96" spans="1:22" x14ac:dyDescent="0.25">
      <c r="A96" s="356"/>
      <c r="B96" s="356"/>
      <c r="C96" s="356"/>
      <c r="D96" s="356"/>
      <c r="E96" s="356"/>
      <c r="F96" s="356"/>
      <c r="G96" s="356"/>
      <c r="H96" s="356"/>
      <c r="I96" s="356"/>
      <c r="J96" s="356"/>
      <c r="K96" s="356"/>
      <c r="L96" s="356"/>
      <c r="M96" s="356"/>
      <c r="N96" s="356"/>
      <c r="O96" s="356"/>
    </row>
    <row r="97" spans="1:14" x14ac:dyDescent="0.25">
      <c r="A97" s="356"/>
      <c r="B97" s="356"/>
      <c r="C97" s="356"/>
      <c r="D97" s="356"/>
      <c r="E97" s="356"/>
      <c r="F97" s="356"/>
      <c r="G97" s="356"/>
      <c r="H97" s="356"/>
    </row>
    <row r="98" spans="1:14" x14ac:dyDescent="0.25">
      <c r="A98" s="356"/>
      <c r="B98" s="356"/>
      <c r="C98" s="356"/>
      <c r="D98" s="356"/>
      <c r="E98" s="356"/>
      <c r="F98" s="356"/>
      <c r="G98" s="356"/>
      <c r="H98" s="356"/>
    </row>
    <row r="99" spans="1:14" x14ac:dyDescent="0.25">
      <c r="A99" s="356"/>
      <c r="B99" s="356"/>
      <c r="C99" s="356"/>
      <c r="D99" s="356"/>
      <c r="E99" s="356"/>
      <c r="F99" s="356"/>
      <c r="G99" s="356"/>
      <c r="H99" s="356"/>
    </row>
    <row r="100" spans="1:14" x14ac:dyDescent="0.25">
      <c r="A100" s="356"/>
      <c r="B100" s="356"/>
      <c r="C100" s="356"/>
      <c r="D100" s="356"/>
      <c r="E100" s="356"/>
      <c r="F100" s="356"/>
      <c r="G100" s="356"/>
      <c r="H100" s="356"/>
    </row>
    <row r="101" spans="1:14" x14ac:dyDescent="0.25">
      <c r="A101" s="356"/>
      <c r="B101" s="356"/>
      <c r="C101" s="356"/>
      <c r="D101" s="356"/>
      <c r="E101" s="356"/>
      <c r="F101" s="356"/>
      <c r="G101" s="356"/>
      <c r="H101" s="356"/>
    </row>
    <row r="102" spans="1:14" x14ac:dyDescent="0.25">
      <c r="A102" s="356"/>
      <c r="B102" s="356"/>
      <c r="C102" s="356"/>
      <c r="D102" s="356"/>
      <c r="E102" s="356"/>
      <c r="F102" s="356"/>
      <c r="G102" s="356"/>
      <c r="H102" s="356"/>
    </row>
    <row r="103" spans="1:14" x14ac:dyDescent="0.25">
      <c r="A103" s="356"/>
      <c r="B103" s="356"/>
      <c r="C103" s="356"/>
      <c r="D103" s="356"/>
      <c r="E103" s="356"/>
      <c r="F103" s="356"/>
      <c r="G103" s="356"/>
      <c r="H103" s="356"/>
    </row>
    <row r="104" spans="1:14" x14ac:dyDescent="0.25">
      <c r="A104" s="356"/>
      <c r="B104" s="356"/>
      <c r="C104" s="356"/>
      <c r="D104" s="356"/>
      <c r="E104" s="356"/>
      <c r="F104" s="356"/>
      <c r="G104" s="356"/>
      <c r="H104" s="356"/>
    </row>
    <row r="105" spans="1:14" x14ac:dyDescent="0.25">
      <c r="A105" s="356"/>
      <c r="B105" s="356"/>
      <c r="C105" s="356"/>
      <c r="D105" s="356"/>
      <c r="E105" s="356"/>
      <c r="F105" s="356"/>
      <c r="G105" s="356"/>
      <c r="H105" s="356"/>
    </row>
    <row r="106" spans="1:14" x14ac:dyDescent="0.25">
      <c r="A106" s="201"/>
      <c r="B106" s="201"/>
      <c r="C106" s="201"/>
      <c r="D106" s="201"/>
      <c r="E106" s="201"/>
      <c r="F106" s="201"/>
      <c r="G106" s="201"/>
      <c r="H106" s="201"/>
    </row>
    <row r="107" spans="1:14" x14ac:dyDescent="0.25">
      <c r="A107" s="201"/>
      <c r="B107" s="201"/>
      <c r="C107" s="201"/>
      <c r="D107" s="201"/>
      <c r="E107" s="201"/>
      <c r="F107" s="201"/>
      <c r="G107" s="201"/>
      <c r="H107" s="201"/>
    </row>
    <row r="108" spans="1:14" x14ac:dyDescent="0.25">
      <c r="A108" s="201"/>
      <c r="B108" s="201"/>
      <c r="C108" s="201"/>
      <c r="D108" s="201"/>
      <c r="E108" s="201"/>
      <c r="F108" s="201"/>
      <c r="G108" s="201"/>
      <c r="H108" s="201"/>
    </row>
    <row r="109" spans="1:14" x14ac:dyDescent="0.25">
      <c r="A109" s="201"/>
      <c r="B109" s="201"/>
      <c r="C109" s="201"/>
      <c r="D109" s="201"/>
      <c r="E109" s="201"/>
      <c r="F109" s="201"/>
      <c r="G109" s="201"/>
      <c r="H109" s="201"/>
    </row>
    <row r="110" spans="1:14" x14ac:dyDescent="0.25">
      <c r="A110" s="201"/>
      <c r="B110" s="201"/>
      <c r="C110" s="201"/>
      <c r="D110" s="201"/>
      <c r="E110" s="201"/>
      <c r="F110" s="201"/>
      <c r="G110" s="201"/>
      <c r="H110" s="201"/>
    </row>
    <row r="111" spans="1:14" x14ac:dyDescent="0.25">
      <c r="A111" s="201"/>
      <c r="B111" s="201"/>
      <c r="C111" s="201"/>
      <c r="D111" s="201"/>
      <c r="E111" s="201"/>
      <c r="F111" s="201"/>
      <c r="G111" s="201"/>
      <c r="H111" s="201"/>
    </row>
    <row r="112" spans="1:14" x14ac:dyDescent="0.25">
      <c r="A112" s="201"/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</row>
    <row r="113" spans="1:15" x14ac:dyDescent="0.25">
      <c r="A113" s="201"/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</row>
    <row r="114" spans="1:15" x14ac:dyDescent="0.25">
      <c r="A114" s="201"/>
      <c r="B114" s="201"/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/>
      <c r="O114" s="201"/>
    </row>
    <row r="115" spans="1:15" x14ac:dyDescent="0.25">
      <c r="A115" s="201"/>
      <c r="B115" s="201"/>
      <c r="C115" s="201"/>
      <c r="D115" s="201"/>
      <c r="E115" s="201"/>
      <c r="F115" s="201"/>
      <c r="G115" s="201"/>
      <c r="H115" s="201"/>
      <c r="I115" s="201"/>
      <c r="J115" s="201"/>
      <c r="K115" s="201"/>
      <c r="L115" s="201"/>
      <c r="M115" s="201"/>
      <c r="N115" s="201"/>
      <c r="O115" s="201"/>
    </row>
    <row r="116" spans="1:15" x14ac:dyDescent="0.25">
      <c r="A116" s="201"/>
      <c r="B116" s="201"/>
      <c r="C116" s="201"/>
      <c r="D116" s="201"/>
      <c r="E116" s="201"/>
      <c r="F116" s="201"/>
      <c r="G116" s="201"/>
      <c r="H116" s="201"/>
      <c r="I116" s="201"/>
      <c r="J116" s="201"/>
      <c r="K116" s="201"/>
      <c r="L116" s="201"/>
      <c r="M116" s="201"/>
      <c r="N116" s="201"/>
      <c r="O116" s="201"/>
    </row>
    <row r="117" spans="1:15" x14ac:dyDescent="0.25">
      <c r="A117" s="201"/>
      <c r="B117" s="201"/>
      <c r="C117" s="201"/>
      <c r="D117" s="201"/>
      <c r="E117" s="201"/>
      <c r="F117" s="201"/>
      <c r="G117" s="201"/>
      <c r="H117" s="201"/>
      <c r="I117" s="201"/>
      <c r="J117" s="201"/>
      <c r="K117" s="201"/>
      <c r="L117" s="201"/>
      <c r="M117" s="201"/>
      <c r="N117" s="201"/>
      <c r="O117" s="201"/>
    </row>
    <row r="118" spans="1:15" x14ac:dyDescent="0.25">
      <c r="A118" s="201"/>
      <c r="B118" s="201"/>
      <c r="C118" s="201"/>
      <c r="D118" s="201"/>
      <c r="E118" s="201"/>
      <c r="F118" s="201"/>
      <c r="G118" s="201"/>
      <c r="H118" s="201"/>
      <c r="I118" s="201"/>
      <c r="J118" s="201"/>
      <c r="K118" s="201"/>
      <c r="L118" s="201"/>
      <c r="M118" s="201"/>
      <c r="N118" s="201"/>
      <c r="O118" s="201"/>
    </row>
    <row r="119" spans="1:15" x14ac:dyDescent="0.25">
      <c r="A119" s="201"/>
      <c r="B119" s="201"/>
      <c r="C119" s="201"/>
      <c r="D119" s="201"/>
      <c r="E119" s="201"/>
      <c r="F119" s="201"/>
      <c r="G119" s="201"/>
      <c r="H119" s="201"/>
      <c r="I119" s="201"/>
      <c r="J119" s="201"/>
      <c r="K119" s="201"/>
      <c r="L119" s="201"/>
      <c r="M119" s="201"/>
      <c r="N119" s="201"/>
      <c r="O119" s="201"/>
    </row>
    <row r="120" spans="1:15" x14ac:dyDescent="0.25">
      <c r="A120" s="201"/>
      <c r="B120" s="201"/>
      <c r="C120" s="201"/>
      <c r="D120" s="201"/>
      <c r="E120" s="201"/>
      <c r="F120" s="201"/>
      <c r="G120" s="201"/>
      <c r="H120" s="201"/>
      <c r="I120" s="201"/>
      <c r="J120" s="201"/>
      <c r="K120" s="201"/>
      <c r="L120" s="201"/>
      <c r="M120" s="201"/>
      <c r="N120" s="201"/>
      <c r="O120" s="201"/>
    </row>
    <row r="121" spans="1:15" x14ac:dyDescent="0.25">
      <c r="A121" s="201"/>
      <c r="B121" s="201"/>
      <c r="C121" s="201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</row>
    <row r="122" spans="1:15" x14ac:dyDescent="0.25">
      <c r="A122" s="201"/>
      <c r="B122" s="201"/>
      <c r="C122" s="201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</row>
    <row r="123" spans="1:15" x14ac:dyDescent="0.25">
      <c r="A123" s="201"/>
      <c r="B123" s="201"/>
      <c r="C123" s="201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</row>
    <row r="124" spans="1:15" x14ac:dyDescent="0.25">
      <c r="A124" s="201"/>
      <c r="B124" s="201"/>
      <c r="C124" s="201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</row>
    <row r="125" spans="1:15" x14ac:dyDescent="0.25">
      <c r="A125" s="201"/>
      <c r="B125" s="201"/>
      <c r="C125" s="201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  <c r="O125" s="201"/>
    </row>
    <row r="126" spans="1:15" x14ac:dyDescent="0.25">
      <c r="A126" s="201"/>
      <c r="B126" s="201"/>
      <c r="C126" s="201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  <c r="O126" s="201"/>
    </row>
    <row r="127" spans="1:15" x14ac:dyDescent="0.25">
      <c r="A127" s="201"/>
      <c r="B127" s="201"/>
      <c r="C127" s="201"/>
      <c r="D127" s="201"/>
      <c r="E127" s="201"/>
      <c r="F127" s="201"/>
      <c r="G127" s="201"/>
      <c r="H127" s="201"/>
      <c r="I127" s="201"/>
      <c r="J127" s="201"/>
      <c r="K127" s="201"/>
      <c r="L127" s="201"/>
      <c r="M127" s="201"/>
      <c r="N127" s="201"/>
      <c r="O127" s="201"/>
    </row>
    <row r="128" spans="1:15" x14ac:dyDescent="0.25">
      <c r="A128" s="201"/>
      <c r="B128" s="201"/>
      <c r="C128" s="201"/>
      <c r="D128" s="201"/>
      <c r="E128" s="201"/>
      <c r="F128" s="201"/>
      <c r="G128" s="201"/>
      <c r="H128" s="201"/>
      <c r="I128" s="201"/>
      <c r="J128" s="201"/>
      <c r="K128" s="201"/>
      <c r="L128" s="201"/>
      <c r="M128" s="201"/>
      <c r="N128" s="201"/>
      <c r="O128" s="201"/>
    </row>
    <row r="129" spans="1:15" x14ac:dyDescent="0.25">
      <c r="A129" s="201"/>
      <c r="B129" s="201"/>
      <c r="C129" s="201"/>
      <c r="D129" s="201"/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</row>
    <row r="130" spans="1:15" x14ac:dyDescent="0.25">
      <c r="A130" s="201"/>
      <c r="B130" s="201"/>
      <c r="C130" s="201"/>
      <c r="D130" s="201"/>
      <c r="E130" s="201"/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</row>
    <row r="131" spans="1:15" x14ac:dyDescent="0.25">
      <c r="A131" s="201"/>
      <c r="B131" s="201"/>
      <c r="C131" s="201"/>
      <c r="D131" s="201"/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</row>
    <row r="132" spans="1:15" x14ac:dyDescent="0.25">
      <c r="A132" s="201"/>
      <c r="B132" s="201"/>
      <c r="C132" s="201"/>
      <c r="D132" s="201"/>
      <c r="E132" s="201"/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</row>
    <row r="133" spans="1:15" x14ac:dyDescent="0.25">
      <c r="A133" s="201"/>
      <c r="B133" s="201"/>
      <c r="C133" s="201"/>
      <c r="D133" s="201"/>
      <c r="E133" s="201"/>
      <c r="F133" s="201"/>
      <c r="G133" s="201"/>
      <c r="H133" s="201"/>
      <c r="I133" s="201"/>
      <c r="J133" s="201"/>
      <c r="K133" s="201"/>
      <c r="L133" s="201"/>
      <c r="M133" s="201"/>
      <c r="N133" s="201"/>
      <c r="O133" s="201"/>
    </row>
    <row r="134" spans="1:15" x14ac:dyDescent="0.25">
      <c r="A134" s="201"/>
      <c r="B134" s="201"/>
      <c r="C134" s="201"/>
      <c r="D134" s="201"/>
      <c r="E134" s="201"/>
      <c r="F134" s="201"/>
      <c r="G134" s="201"/>
      <c r="H134" s="201"/>
      <c r="I134" s="201"/>
      <c r="J134" s="201"/>
      <c r="K134" s="201"/>
      <c r="L134" s="201"/>
      <c r="M134" s="201"/>
      <c r="N134" s="201"/>
      <c r="O134" s="201"/>
    </row>
    <row r="135" spans="1:15" x14ac:dyDescent="0.25">
      <c r="A135" s="201"/>
      <c r="B135" s="201"/>
      <c r="C135" s="201"/>
      <c r="D135" s="201"/>
      <c r="E135" s="201"/>
      <c r="F135" s="201"/>
      <c r="G135" s="201"/>
      <c r="H135" s="201"/>
      <c r="I135" s="201"/>
      <c r="J135" s="201"/>
      <c r="K135" s="201"/>
      <c r="L135" s="201"/>
      <c r="M135" s="201"/>
      <c r="N135" s="201"/>
      <c r="O135" s="201"/>
    </row>
    <row r="136" spans="1:15" x14ac:dyDescent="0.25">
      <c r="A136" s="201"/>
      <c r="B136" s="201"/>
      <c r="C136" s="201"/>
      <c r="D136" s="201"/>
      <c r="E136" s="201"/>
      <c r="F136" s="201"/>
      <c r="G136" s="201"/>
      <c r="H136" s="201"/>
      <c r="O136" s="201"/>
    </row>
    <row r="137" spans="1:15" x14ac:dyDescent="0.25">
      <c r="A137" s="201"/>
      <c r="B137" s="201"/>
      <c r="C137" s="201"/>
      <c r="D137" s="201"/>
      <c r="E137" s="201"/>
      <c r="F137" s="201"/>
      <c r="G137" s="201"/>
      <c r="H137" s="201"/>
      <c r="O137" s="201"/>
    </row>
    <row r="138" spans="1:15" x14ac:dyDescent="0.25">
      <c r="A138" s="201"/>
      <c r="B138" s="201"/>
      <c r="C138" s="201"/>
      <c r="D138" s="201"/>
      <c r="E138" s="201"/>
      <c r="F138" s="201"/>
      <c r="G138" s="201"/>
      <c r="H138" s="201"/>
      <c r="O138" s="201"/>
    </row>
    <row r="139" spans="1:15" x14ac:dyDescent="0.25">
      <c r="A139" s="201"/>
      <c r="B139" s="201"/>
      <c r="C139" s="201"/>
      <c r="D139" s="201"/>
      <c r="E139" s="201"/>
      <c r="F139" s="201"/>
      <c r="G139" s="201"/>
      <c r="H139" s="201"/>
      <c r="O139" s="201"/>
    </row>
    <row r="140" spans="1:15" x14ac:dyDescent="0.25">
      <c r="A140" s="201"/>
      <c r="B140" s="201"/>
      <c r="C140" s="201"/>
      <c r="D140" s="201"/>
      <c r="E140" s="201"/>
      <c r="F140" s="201"/>
      <c r="G140" s="201"/>
      <c r="H140" s="201"/>
      <c r="O140" s="201"/>
    </row>
    <row r="141" spans="1:15" x14ac:dyDescent="0.25">
      <c r="A141" s="201"/>
      <c r="B141" s="201"/>
      <c r="C141" s="201"/>
      <c r="D141" s="201"/>
      <c r="E141" s="201"/>
      <c r="F141" s="201"/>
      <c r="G141" s="201"/>
      <c r="H141" s="201"/>
      <c r="O141" s="201"/>
    </row>
    <row r="142" spans="1:15" x14ac:dyDescent="0.25">
      <c r="A142" s="201"/>
      <c r="B142" s="201"/>
      <c r="C142" s="201"/>
      <c r="D142" s="201"/>
      <c r="E142" s="201"/>
      <c r="F142" s="201"/>
      <c r="G142" s="201"/>
      <c r="H142" s="201"/>
      <c r="O142" s="201"/>
    </row>
    <row r="143" spans="1:15" x14ac:dyDescent="0.25">
      <c r="A143" s="201"/>
      <c r="B143" s="201"/>
      <c r="C143" s="201"/>
      <c r="D143" s="201"/>
      <c r="E143" s="201"/>
      <c r="F143" s="201"/>
      <c r="G143" s="201"/>
      <c r="H143" s="201"/>
      <c r="O143" s="201"/>
    </row>
    <row r="144" spans="1:15" x14ac:dyDescent="0.25">
      <c r="A144" s="201"/>
      <c r="B144" s="201"/>
      <c r="C144" s="201"/>
      <c r="D144" s="201"/>
      <c r="E144" s="201"/>
      <c r="F144" s="201"/>
      <c r="G144" s="201"/>
      <c r="H144" s="201"/>
      <c r="O144" s="201"/>
    </row>
    <row r="145" spans="1:15" x14ac:dyDescent="0.25">
      <c r="A145" s="201"/>
      <c r="B145" s="201"/>
      <c r="C145" s="201"/>
      <c r="D145" s="201"/>
      <c r="E145" s="201"/>
      <c r="F145" s="201"/>
      <c r="G145" s="201"/>
      <c r="H145" s="201"/>
      <c r="O145" s="201"/>
    </row>
    <row r="146" spans="1:15" x14ac:dyDescent="0.25">
      <c r="A146" s="201"/>
      <c r="B146" s="201"/>
      <c r="C146" s="201"/>
      <c r="D146" s="201"/>
      <c r="E146" s="201"/>
      <c r="F146" s="201"/>
      <c r="G146" s="201"/>
      <c r="H146" s="201"/>
      <c r="O146" s="201"/>
    </row>
    <row r="147" spans="1:15" x14ac:dyDescent="0.25">
      <c r="A147" s="201"/>
      <c r="B147" s="201"/>
      <c r="C147" s="201"/>
      <c r="D147" s="201"/>
      <c r="E147" s="201"/>
      <c r="F147" s="201"/>
      <c r="G147" s="201"/>
      <c r="H147" s="201"/>
      <c r="O147" s="201"/>
    </row>
    <row r="148" spans="1:15" x14ac:dyDescent="0.25">
      <c r="A148" s="201"/>
      <c r="B148" s="201"/>
      <c r="C148" s="201"/>
      <c r="D148" s="201"/>
      <c r="E148" s="201"/>
      <c r="F148" s="201"/>
      <c r="G148" s="201"/>
      <c r="H148" s="201"/>
      <c r="O148" s="201"/>
    </row>
    <row r="149" spans="1:15" x14ac:dyDescent="0.25">
      <c r="A149" s="201"/>
      <c r="B149" s="201"/>
      <c r="C149" s="201"/>
      <c r="D149" s="201"/>
      <c r="E149" s="201"/>
      <c r="F149" s="201"/>
      <c r="G149" s="201"/>
      <c r="H149" s="201"/>
      <c r="O149" s="201"/>
    </row>
    <row r="150" spans="1:15" x14ac:dyDescent="0.25">
      <c r="A150" s="201"/>
      <c r="B150" s="201"/>
      <c r="C150" s="201"/>
      <c r="D150" s="201"/>
      <c r="E150" s="201"/>
      <c r="F150" s="201"/>
      <c r="G150" s="201"/>
      <c r="H150" s="201"/>
      <c r="O150" s="201"/>
    </row>
  </sheetData>
  <sheetProtection formatCells="0" formatColumns="0" formatRows="0" insertColumns="0" insertRows="0" insertHyperlinks="0" deleteColumns="0" deleteRows="0" sort="0" autoFilter="0" pivotTables="0"/>
  <mergeCells count="113">
    <mergeCell ref="P74:U74"/>
    <mergeCell ref="I74:N74"/>
    <mergeCell ref="R91:S91"/>
    <mergeCell ref="A84:C84"/>
    <mergeCell ref="D84:E84"/>
    <mergeCell ref="F84:G84"/>
    <mergeCell ref="B86:D86"/>
    <mergeCell ref="I80:N80"/>
    <mergeCell ref="P80:U80"/>
    <mergeCell ref="D81:E81"/>
    <mergeCell ref="F81:G81"/>
    <mergeCell ref="I87:N87"/>
    <mergeCell ref="A83:C83"/>
    <mergeCell ref="D83:E83"/>
    <mergeCell ref="F83:G83"/>
    <mergeCell ref="A80:C80"/>
    <mergeCell ref="D80:E80"/>
    <mergeCell ref="F80:G80"/>
    <mergeCell ref="A81:C81"/>
    <mergeCell ref="A82:C82"/>
    <mergeCell ref="D82:E82"/>
    <mergeCell ref="F82:G82"/>
    <mergeCell ref="D79:E79"/>
    <mergeCell ref="F79:G79"/>
    <mergeCell ref="A1:O1"/>
    <mergeCell ref="A3:O3"/>
    <mergeCell ref="A4:O4"/>
    <mergeCell ref="A6:O6"/>
    <mergeCell ref="A8:N9"/>
    <mergeCell ref="A11:N11"/>
    <mergeCell ref="N15:N17"/>
    <mergeCell ref="O15:O17"/>
    <mergeCell ref="I16:I17"/>
    <mergeCell ref="A14:O14"/>
    <mergeCell ref="A15:A17"/>
    <mergeCell ref="B15:C16"/>
    <mergeCell ref="D15:D17"/>
    <mergeCell ref="E15:E17"/>
    <mergeCell ref="F15:F17"/>
    <mergeCell ref="G15:G17"/>
    <mergeCell ref="H15:I15"/>
    <mergeCell ref="J15:J17"/>
    <mergeCell ref="M15:M17"/>
    <mergeCell ref="A25:G25"/>
    <mergeCell ref="D76:E76"/>
    <mergeCell ref="F76:G76"/>
    <mergeCell ref="F77:G77"/>
    <mergeCell ref="F60:F62"/>
    <mergeCell ref="G60:G62"/>
    <mergeCell ref="A24:G24"/>
    <mergeCell ref="B23:F23"/>
    <mergeCell ref="N28:N30"/>
    <mergeCell ref="O28:O30"/>
    <mergeCell ref="H29:H30"/>
    <mergeCell ref="I29:I30"/>
    <mergeCell ref="B41:F41"/>
    <mergeCell ref="A28:A30"/>
    <mergeCell ref="B28:C29"/>
    <mergeCell ref="D28:D30"/>
    <mergeCell ref="E28:E30"/>
    <mergeCell ref="F28:F30"/>
    <mergeCell ref="G28:G30"/>
    <mergeCell ref="H28:I28"/>
    <mergeCell ref="J28:J30"/>
    <mergeCell ref="M28:M30"/>
    <mergeCell ref="A79:C79"/>
    <mergeCell ref="A78:C78"/>
    <mergeCell ref="A54:G54"/>
    <mergeCell ref="A45:M45"/>
    <mergeCell ref="A43:G43"/>
    <mergeCell ref="A59:O59"/>
    <mergeCell ref="A60:A62"/>
    <mergeCell ref="A75:C75"/>
    <mergeCell ref="D75:E75"/>
    <mergeCell ref="F75:G75"/>
    <mergeCell ref="M60:M62"/>
    <mergeCell ref="N60:N62"/>
    <mergeCell ref="O60:O62"/>
    <mergeCell ref="H61:H62"/>
    <mergeCell ref="I61:I62"/>
    <mergeCell ref="B69:F69"/>
    <mergeCell ref="A74:G74"/>
    <mergeCell ref="B60:C61"/>
    <mergeCell ref="A76:C76"/>
    <mergeCell ref="A71:G71"/>
    <mergeCell ref="B52:F52"/>
    <mergeCell ref="F78:G78"/>
    <mergeCell ref="M46:M48"/>
    <mergeCell ref="N46:N48"/>
    <mergeCell ref="D60:D62"/>
    <mergeCell ref="E60:E62"/>
    <mergeCell ref="D78:E78"/>
    <mergeCell ref="H60:I60"/>
    <mergeCell ref="J60:J62"/>
    <mergeCell ref="A70:G70"/>
    <mergeCell ref="A18:O18"/>
    <mergeCell ref="A53:G53"/>
    <mergeCell ref="P50:S50"/>
    <mergeCell ref="A42:G42"/>
    <mergeCell ref="A27:M27"/>
    <mergeCell ref="O46:O48"/>
    <mergeCell ref="H47:H48"/>
    <mergeCell ref="I47:I48"/>
    <mergeCell ref="A46:A48"/>
    <mergeCell ref="B46:C47"/>
    <mergeCell ref="D46:D48"/>
    <mergeCell ref="E46:E48"/>
    <mergeCell ref="F46:F48"/>
    <mergeCell ref="G46:G48"/>
    <mergeCell ref="H46:I46"/>
    <mergeCell ref="J46:J48"/>
    <mergeCell ref="A77:C77"/>
    <mergeCell ref="D77:E77"/>
  </mergeCells>
  <conditionalFormatting sqref="J76:M78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{2C17E987-5B98-4C1E-B266-78AAAEF2CBF9}</x14:id>
        </ext>
      </extLst>
    </cfRule>
  </conditionalFormatting>
  <conditionalFormatting sqref="J82:M84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{3D20B4C9-B7CF-4A20-A992-4F1970D0BE39}</x14:id>
        </ext>
      </extLst>
    </cfRule>
  </conditionalFormatting>
  <conditionalFormatting sqref="J89:M94">
    <cfRule type="dataBar" priority="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{AD82BA26-6E4C-4DAA-A0DE-2137C11CBB30}</x14:id>
        </ext>
      </extLst>
    </cfRule>
  </conditionalFormatting>
  <conditionalFormatting sqref="J76:N78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{DD1C6569-919D-494A-9036-B16FC207579D}</x14:id>
        </ext>
      </extLst>
    </cfRule>
    <cfRule type="colorScale" priority="20">
      <colorScale>
        <cfvo type="min"/>
        <cfvo type="max"/>
        <color rgb="FFFCFCFF"/>
        <color rgb="FF63BE7B"/>
      </colorScale>
    </cfRule>
    <cfRule type="top10" dxfId="1" priority="21" rank="5"/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9:N94">
    <cfRule type="colorScale" priority="19">
      <colorScale>
        <cfvo type="min"/>
        <cfvo type="max"/>
        <color rgb="FFFCFCFF"/>
        <color rgb="FF63BE7B"/>
      </colorScale>
    </cfRule>
  </conditionalFormatting>
  <conditionalFormatting sqref="K77">
    <cfRule type="dataBar" priority="2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{E72DEAA4-C2E1-448E-9C2F-035C4F5B77A0}</x14:id>
        </ext>
      </extLst>
    </cfRule>
  </conditionalFormatting>
  <conditionalFormatting sqref="Q76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{6A5903F1-29EB-4109-BA45-6311A1C0EEDC}</x14:id>
        </ext>
      </extLst>
    </cfRule>
  </conditionalFormatting>
  <conditionalFormatting sqref="Q77:Q78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{ED5FC5EE-5443-4CE9-BC1A-C87E39FAE1DE}</x14:id>
        </ext>
      </extLst>
    </cfRule>
  </conditionalFormatting>
  <conditionalFormatting sqref="Q82:T8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{03285D57-C397-48D4-80ED-0E07766A051B}</x14:id>
        </ext>
      </extLst>
    </cfRule>
  </conditionalFormatting>
  <conditionalFormatting sqref="Q88:U8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76:T78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{D0B5285D-B4BC-449E-BBFB-14CB1A06C0F3}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47" fitToHeight="0" orientation="landscape" r:id="rId1"/>
  <rowBreaks count="2" manualBreakCount="2">
    <brk id="44" max="16383" man="1"/>
    <brk id="72" max="16383" man="1"/>
  </rowBreaks>
  <colBreaks count="1" manualBreakCount="1">
    <brk id="15" max="1048575" man="1"/>
  </col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C17E987-5B98-4C1E-B266-78AAAEF2CBF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J76:M78</xm:sqref>
        </x14:conditionalFormatting>
        <x14:conditionalFormatting xmlns:xm="http://schemas.microsoft.com/office/excel/2006/main">
          <x14:cfRule type="dataBar" id="{3D20B4C9-B7CF-4A20-A992-4F1970D0BE3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J82:M84</xm:sqref>
        </x14:conditionalFormatting>
        <x14:conditionalFormatting xmlns:xm="http://schemas.microsoft.com/office/excel/2006/main">
          <x14:cfRule type="dataBar" id="{AD82BA26-6E4C-4DAA-A0DE-2137C11CBB3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J89:M94</xm:sqref>
        </x14:conditionalFormatting>
        <x14:conditionalFormatting xmlns:xm="http://schemas.microsoft.com/office/excel/2006/main">
          <x14:cfRule type="dataBar" id="{DD1C6569-919D-494A-9036-B16FC20757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J76:N78</xm:sqref>
        </x14:conditionalFormatting>
        <x14:conditionalFormatting xmlns:xm="http://schemas.microsoft.com/office/excel/2006/main">
          <x14:cfRule type="dataBar" id="{E72DEAA4-C2E1-448E-9C2F-035C4F5B77A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K77</xm:sqref>
        </x14:conditionalFormatting>
        <x14:conditionalFormatting xmlns:xm="http://schemas.microsoft.com/office/excel/2006/main">
          <x14:cfRule type="dataBar" id="{6A5903F1-29EB-4109-BA45-6311A1C0EED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Q76</xm:sqref>
        </x14:conditionalFormatting>
        <x14:conditionalFormatting xmlns:xm="http://schemas.microsoft.com/office/excel/2006/main">
          <x14:cfRule type="dataBar" id="{ED5FC5EE-5443-4CE9-BC1A-C87E39FAE1D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Q77:Q78</xm:sqref>
        </x14:conditionalFormatting>
        <x14:conditionalFormatting xmlns:xm="http://schemas.microsoft.com/office/excel/2006/main">
          <x14:cfRule type="dataBar" id="{03285D57-C397-48D4-80ED-0E07766A051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Q82:T87</xm:sqref>
        </x14:conditionalFormatting>
        <x14:conditionalFormatting xmlns:xm="http://schemas.microsoft.com/office/excel/2006/main">
          <x14:cfRule type="dataBar" id="{D0B5285D-B4BC-449E-BBFB-14CB1A06C0F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R76:T78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4E6F-25C5-466A-815C-35AEF62941D9}">
  <sheetPr>
    <pageSetUpPr fitToPage="1"/>
  </sheetPr>
  <dimension ref="A1:W150"/>
  <sheetViews>
    <sheetView view="pageBreakPreview" zoomScale="80" zoomScaleNormal="78" zoomScaleSheetLayoutView="80" workbookViewId="0">
      <selection activeCell="P98" sqref="P98"/>
    </sheetView>
  </sheetViews>
  <sheetFormatPr baseColWidth="10" defaultRowHeight="15.75" x14ac:dyDescent="0.25"/>
  <cols>
    <col min="1" max="1" width="4" style="197" customWidth="1"/>
    <col min="2" max="2" width="16" style="197" customWidth="1"/>
    <col min="3" max="3" width="38.42578125" style="197" customWidth="1"/>
    <col min="4" max="4" width="19.140625" style="197" customWidth="1"/>
    <col min="5" max="5" width="15.140625" style="197" customWidth="1"/>
    <col min="6" max="6" width="13.140625" style="197" customWidth="1"/>
    <col min="7" max="7" width="14.28515625" style="197" customWidth="1"/>
    <col min="8" max="8" width="13.5703125" style="197" customWidth="1"/>
    <col min="9" max="9" width="18.5703125" style="197" customWidth="1"/>
    <col min="10" max="10" width="17.140625" style="197" customWidth="1"/>
    <col min="11" max="11" width="17.5703125" style="197" customWidth="1"/>
    <col min="12" max="12" width="20" style="197" customWidth="1"/>
    <col min="13" max="13" width="20.5703125" style="197" customWidth="1"/>
    <col min="14" max="14" width="16.140625" style="197" customWidth="1"/>
    <col min="15" max="15" width="14.85546875" style="197" customWidth="1"/>
    <col min="16" max="16" width="18.42578125" style="197" customWidth="1"/>
    <col min="17" max="17" width="22" style="197" bestFit="1" customWidth="1"/>
    <col min="18" max="18" width="15" style="197" customWidth="1"/>
    <col min="19" max="19" width="17.85546875" style="197" bestFit="1" customWidth="1"/>
    <col min="20" max="20" width="13.28515625" style="197" customWidth="1"/>
    <col min="21" max="21" width="16.42578125" style="197" customWidth="1"/>
    <col min="22" max="22" width="11.42578125" style="197"/>
    <col min="23" max="23" width="13.7109375" style="197" customWidth="1"/>
    <col min="24" max="16384" width="11.42578125" style="197"/>
  </cols>
  <sheetData>
    <row r="1" spans="1:15" x14ac:dyDescent="0.25">
      <c r="A1" s="727" t="s">
        <v>0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</row>
    <row r="2" spans="1:15" ht="6.75" customHeight="1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</row>
    <row r="3" spans="1:15" x14ac:dyDescent="0.25">
      <c r="A3" s="653" t="s">
        <v>1</v>
      </c>
      <c r="B3" s="653"/>
      <c r="C3" s="653"/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653"/>
    </row>
    <row r="4" spans="1:15" x14ac:dyDescent="0.25">
      <c r="A4" s="653" t="s">
        <v>2</v>
      </c>
      <c r="B4" s="653"/>
      <c r="C4" s="653"/>
      <c r="D4" s="653"/>
      <c r="E4" s="653"/>
      <c r="F4" s="653"/>
      <c r="G4" s="653"/>
      <c r="H4" s="653"/>
      <c r="I4" s="653"/>
      <c r="J4" s="653"/>
      <c r="K4" s="653"/>
      <c r="L4" s="653"/>
      <c r="M4" s="653"/>
      <c r="N4" s="653"/>
      <c r="O4" s="653"/>
    </row>
    <row r="5" spans="1:15" ht="6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653" t="s">
        <v>3</v>
      </c>
      <c r="B6" s="653"/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3"/>
      <c r="O6" s="653"/>
    </row>
    <row r="7" spans="1:15" ht="8.2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8" customHeight="1" x14ac:dyDescent="0.25">
      <c r="A8" s="728" t="s">
        <v>4</v>
      </c>
      <c r="B8" s="728"/>
      <c r="C8" s="728"/>
      <c r="D8" s="728"/>
      <c r="E8" s="728"/>
      <c r="F8" s="728"/>
      <c r="G8" s="728"/>
      <c r="H8" s="728"/>
      <c r="I8" s="728"/>
      <c r="J8" s="728"/>
      <c r="K8" s="728"/>
      <c r="L8" s="728"/>
      <c r="M8" s="728"/>
      <c r="N8" s="728"/>
      <c r="O8" s="198"/>
    </row>
    <row r="9" spans="1:15" ht="18" customHeight="1" x14ac:dyDescent="0.25">
      <c r="A9" s="728"/>
      <c r="B9" s="728"/>
      <c r="C9" s="728"/>
      <c r="D9" s="728"/>
      <c r="E9" s="728"/>
      <c r="F9" s="728"/>
      <c r="G9" s="728"/>
      <c r="H9" s="728"/>
      <c r="I9" s="728"/>
      <c r="J9" s="728"/>
      <c r="K9" s="728"/>
      <c r="L9" s="728"/>
      <c r="M9" s="728"/>
      <c r="N9" s="728"/>
      <c r="O9" s="198"/>
    </row>
    <row r="10" spans="1:15" ht="18" customHeight="1" x14ac:dyDescent="0.25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</row>
    <row r="11" spans="1:15" ht="18" customHeight="1" x14ac:dyDescent="0.25">
      <c r="A11" s="729" t="s">
        <v>149</v>
      </c>
      <c r="B11" s="729"/>
      <c r="C11" s="729"/>
      <c r="D11" s="729"/>
      <c r="E11" s="729"/>
      <c r="F11" s="729"/>
      <c r="G11" s="729"/>
      <c r="H11" s="729"/>
      <c r="I11" s="729"/>
      <c r="J11" s="729"/>
      <c r="K11" s="729"/>
      <c r="L11" s="729"/>
      <c r="M11" s="729"/>
      <c r="N11" s="729"/>
      <c r="O11" s="595"/>
    </row>
    <row r="12" spans="1:15" x14ac:dyDescent="0.25">
      <c r="A12" s="201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</row>
    <row r="13" spans="1:15" x14ac:dyDescent="0.25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1"/>
    </row>
    <row r="14" spans="1:15" ht="15.75" customHeight="1" thickBot="1" x14ac:dyDescent="0.3">
      <c r="A14" s="741" t="s">
        <v>5</v>
      </c>
      <c r="B14" s="741"/>
      <c r="C14" s="741"/>
      <c r="D14" s="741"/>
      <c r="E14" s="741"/>
      <c r="F14" s="741"/>
      <c r="G14" s="741"/>
      <c r="H14" s="741"/>
      <c r="I14" s="741"/>
      <c r="J14" s="741"/>
      <c r="K14" s="741"/>
      <c r="L14" s="741"/>
      <c r="M14" s="741"/>
      <c r="N14" s="741"/>
      <c r="O14" s="741"/>
    </row>
    <row r="15" spans="1:15" ht="27" customHeight="1" thickBot="1" x14ac:dyDescent="0.3">
      <c r="A15" s="742" t="s">
        <v>6</v>
      </c>
      <c r="B15" s="744" t="s">
        <v>7</v>
      </c>
      <c r="C15" s="745"/>
      <c r="D15" s="733" t="s">
        <v>8</v>
      </c>
      <c r="E15" s="733" t="s">
        <v>9</v>
      </c>
      <c r="F15" s="733" t="s">
        <v>10</v>
      </c>
      <c r="G15" s="733" t="s">
        <v>11</v>
      </c>
      <c r="H15" s="744" t="s">
        <v>12</v>
      </c>
      <c r="I15" s="745"/>
      <c r="J15" s="733" t="s">
        <v>59</v>
      </c>
      <c r="K15" s="203"/>
      <c r="L15" s="203"/>
      <c r="M15" s="733" t="s">
        <v>13</v>
      </c>
      <c r="N15" s="733" t="s">
        <v>14</v>
      </c>
      <c r="O15" s="735" t="s">
        <v>15</v>
      </c>
    </row>
    <row r="16" spans="1:15" ht="2.25" customHeight="1" thickBot="1" x14ac:dyDescent="0.3">
      <c r="A16" s="743"/>
      <c r="B16" s="746"/>
      <c r="C16" s="747"/>
      <c r="D16" s="734"/>
      <c r="E16" s="734"/>
      <c r="F16" s="734"/>
      <c r="G16" s="748"/>
      <c r="H16" s="206" t="s">
        <v>16</v>
      </c>
      <c r="I16" s="733" t="s">
        <v>17</v>
      </c>
      <c r="J16" s="749"/>
      <c r="K16" s="207"/>
      <c r="L16" s="207"/>
      <c r="M16" s="749"/>
      <c r="N16" s="734"/>
      <c r="O16" s="736"/>
    </row>
    <row r="17" spans="1:20" ht="26.25" customHeight="1" x14ac:dyDescent="0.25">
      <c r="A17" s="774"/>
      <c r="B17" s="203" t="s">
        <v>18</v>
      </c>
      <c r="C17" s="403" t="s">
        <v>19</v>
      </c>
      <c r="D17" s="734"/>
      <c r="E17" s="734"/>
      <c r="F17" s="734"/>
      <c r="G17" s="748"/>
      <c r="H17" s="406" t="s">
        <v>20</v>
      </c>
      <c r="I17" s="734"/>
      <c r="J17" s="749"/>
      <c r="K17" s="205" t="s">
        <v>21</v>
      </c>
      <c r="L17" s="205" t="s">
        <v>22</v>
      </c>
      <c r="M17" s="749"/>
      <c r="N17" s="734"/>
      <c r="O17" s="737"/>
    </row>
    <row r="18" spans="1:20" ht="78.75" hidden="1" x14ac:dyDescent="0.25">
      <c r="A18" s="218"/>
      <c r="B18" s="220" t="s">
        <v>60</v>
      </c>
      <c r="C18" s="192" t="s">
        <v>277</v>
      </c>
      <c r="D18" s="220" t="s">
        <v>23</v>
      </c>
      <c r="E18" s="251" t="s">
        <v>153</v>
      </c>
      <c r="F18" s="219" t="s">
        <v>63</v>
      </c>
      <c r="G18" s="275"/>
      <c r="H18" s="275"/>
      <c r="I18" s="275"/>
      <c r="J18" s="275"/>
      <c r="K18" s="275"/>
      <c r="L18" s="275"/>
      <c r="M18" s="275"/>
      <c r="N18" s="275"/>
      <c r="O18" s="223">
        <f t="shared" ref="O18:O20" si="0">SUM(M18:N18)</f>
        <v>0</v>
      </c>
      <c r="P18" s="230"/>
    </row>
    <row r="19" spans="1:20" ht="94.5" hidden="1" x14ac:dyDescent="0.25">
      <c r="A19" s="218">
        <f>OCTUBRE!A19</f>
        <v>0</v>
      </c>
      <c r="B19" s="220" t="s">
        <v>61</v>
      </c>
      <c r="C19" s="192" t="s">
        <v>278</v>
      </c>
      <c r="D19" s="220" t="s">
        <v>23</v>
      </c>
      <c r="E19" s="251" t="s">
        <v>153</v>
      </c>
      <c r="F19" s="219" t="s">
        <v>92</v>
      </c>
      <c r="G19" s="222"/>
      <c r="H19" s="222"/>
      <c r="I19" s="222"/>
      <c r="J19" s="222"/>
      <c r="K19" s="222"/>
      <c r="L19" s="222"/>
      <c r="M19" s="222"/>
      <c r="N19" s="222"/>
      <c r="O19" s="223">
        <f t="shared" si="0"/>
        <v>0</v>
      </c>
      <c r="P19" s="230"/>
      <c r="Q19" s="217"/>
    </row>
    <row r="20" spans="1:20" ht="110.25" hidden="1" x14ac:dyDescent="0.25">
      <c r="A20" s="218"/>
      <c r="B20" s="411" t="s">
        <v>126</v>
      </c>
      <c r="C20" s="226" t="s">
        <v>279</v>
      </c>
      <c r="D20" s="220" t="s">
        <v>23</v>
      </c>
      <c r="E20" s="251" t="s">
        <v>153</v>
      </c>
      <c r="F20" s="219" t="s">
        <v>114</v>
      </c>
      <c r="G20" s="222"/>
      <c r="H20" s="222"/>
      <c r="I20" s="222"/>
      <c r="J20" s="222"/>
      <c r="K20" s="222"/>
      <c r="L20" s="222"/>
      <c r="M20" s="222"/>
      <c r="N20" s="222"/>
      <c r="O20" s="223">
        <f t="shared" si="0"/>
        <v>0</v>
      </c>
      <c r="P20" s="230"/>
      <c r="Q20" s="217"/>
      <c r="R20" s="217"/>
      <c r="S20" s="217"/>
      <c r="T20" s="217"/>
    </row>
    <row r="21" spans="1:20" ht="94.5" x14ac:dyDescent="0.25">
      <c r="A21" s="218">
        <f>OCTUBRE!A19+NOVIEMBRE!A20+NOVIEMBRE!A23</f>
        <v>0</v>
      </c>
      <c r="B21" s="411" t="s">
        <v>127</v>
      </c>
      <c r="C21" s="192" t="s">
        <v>235</v>
      </c>
      <c r="D21" s="220" t="s">
        <v>23</v>
      </c>
      <c r="E21" s="251" t="s">
        <v>153</v>
      </c>
      <c r="F21" s="219" t="s">
        <v>64</v>
      </c>
      <c r="G21" s="222">
        <f>OCTUBRE!G19+NOVIEMBRE!G20+NOVIEMBRE!G23</f>
        <v>24</v>
      </c>
      <c r="H21" s="222">
        <f>OCTUBRE!H19+NOVIEMBRE!H20+NOVIEMBRE!H23</f>
        <v>0</v>
      </c>
      <c r="I21" s="222">
        <f>OCTUBRE!I19+NOVIEMBRE!I20+NOVIEMBRE!I23</f>
        <v>0</v>
      </c>
      <c r="J21" s="222">
        <f>OCTUBRE!J19+NOVIEMBRE!J20+NOVIEMBRE!J23</f>
        <v>650000</v>
      </c>
      <c r="K21" s="222">
        <f>OCTUBRE!K19+NOVIEMBRE!K20+NOVIEMBRE!K23</f>
        <v>7800</v>
      </c>
      <c r="L21" s="222">
        <f>OCTUBRE!L19+NOVIEMBRE!L20+NOVIEMBRE!L23</f>
        <v>19803.21</v>
      </c>
      <c r="M21" s="222">
        <f>OCTUBRE!M19+NOVIEMBRE!M20+NOVIEMBRE!M23</f>
        <v>63758.11</v>
      </c>
      <c r="N21" s="222">
        <f>OCTUBRE!N19+NOVIEMBRE!N20+NOVIEMBRE!N23</f>
        <v>22430.240000000002</v>
      </c>
      <c r="O21" s="223">
        <f>SUM(M21:N21)</f>
        <v>86188.35</v>
      </c>
      <c r="P21" s="230"/>
      <c r="Q21" s="217"/>
      <c r="R21" s="217"/>
      <c r="S21" s="217"/>
      <c r="T21" s="217"/>
    </row>
    <row r="22" spans="1:20" ht="63" x14ac:dyDescent="0.25">
      <c r="A22" s="218">
        <f>OCTUBRE!A22+NOVIEMBRE!A18+NOVIEMBRE!A21+NOVIEMBRE!A24</f>
        <v>4</v>
      </c>
      <c r="B22" s="219"/>
      <c r="C22" s="390" t="s">
        <v>246</v>
      </c>
      <c r="D22" s="220" t="s">
        <v>23</v>
      </c>
      <c r="E22" s="251" t="s">
        <v>153</v>
      </c>
      <c r="F22" s="221" t="s">
        <v>133</v>
      </c>
      <c r="G22" s="222">
        <f>OCTUBRE!G22+NOVIEMBRE!G18+NOVIEMBRE!G21+NOVIEMBRE!G24</f>
        <v>40</v>
      </c>
      <c r="H22" s="222">
        <f>OCTUBRE!H22+NOVIEMBRE!H18+NOVIEMBRE!H21+NOVIEMBRE!H24</f>
        <v>0</v>
      </c>
      <c r="I22" s="222">
        <f>OCTUBRE!I22+NOVIEMBRE!I18+NOVIEMBRE!I21+NOVIEMBRE!I24</f>
        <v>0</v>
      </c>
      <c r="J22" s="222">
        <f>OCTUBRE!J22+NOVIEMBRE!J18+NOVIEMBRE!J21+NOVIEMBRE!J24</f>
        <v>300000</v>
      </c>
      <c r="K22" s="222">
        <f>OCTUBRE!K22+NOVIEMBRE!K18+NOVIEMBRE!K21+NOVIEMBRE!K24</f>
        <v>13800</v>
      </c>
      <c r="L22" s="222">
        <f>OCTUBRE!L22+NOVIEMBRE!L18+NOVIEMBRE!L21+NOVIEMBRE!L24</f>
        <v>24937.5</v>
      </c>
      <c r="M22" s="282">
        <v>66499.649999999994</v>
      </c>
      <c r="N22" s="222">
        <f>OCTUBRE!N22+NOVIEMBRE!N18+NOVIEMBRE!N21+NOVIEMBRE!N24</f>
        <v>33615.120000000003</v>
      </c>
      <c r="O22" s="223">
        <f>SUM(M22:N22)</f>
        <v>100114.76999999999</v>
      </c>
      <c r="P22" s="230"/>
      <c r="Q22" s="217"/>
      <c r="R22" s="217"/>
      <c r="S22" s="217"/>
      <c r="T22" s="217"/>
    </row>
    <row r="23" spans="1:20" ht="94.5" x14ac:dyDescent="0.25">
      <c r="A23" s="218">
        <f>OCTUBRE!A20+NOVIEMBRE!A19</f>
        <v>1</v>
      </c>
      <c r="B23" s="411" t="s">
        <v>126</v>
      </c>
      <c r="C23" s="390" t="s">
        <v>228</v>
      </c>
      <c r="D23" s="220" t="s">
        <v>23</v>
      </c>
      <c r="E23" s="251" t="s">
        <v>153</v>
      </c>
      <c r="F23" s="221" t="s">
        <v>125</v>
      </c>
      <c r="G23" s="222">
        <f>OCTUBRE!G20+NOVIEMBRE!G19</f>
        <v>8</v>
      </c>
      <c r="H23" s="222">
        <f>OCTUBRE!H20+NOVIEMBRE!H19</f>
        <v>0</v>
      </c>
      <c r="I23" s="222">
        <f>OCTUBRE!I20+NOVIEMBRE!I19</f>
        <v>0</v>
      </c>
      <c r="J23" s="222">
        <f>OCTUBRE!J20+NOVIEMBRE!J19</f>
        <v>280000</v>
      </c>
      <c r="K23" s="222">
        <f>OCTUBRE!K20+NOVIEMBRE!K19</f>
        <v>2600</v>
      </c>
      <c r="L23" s="222">
        <f>OCTUBRE!L20+NOVIEMBRE!L19</f>
        <v>7303.21</v>
      </c>
      <c r="M23" s="222">
        <f>OCTUBRE!M20+NOVIEMBRE!M19</f>
        <v>36876.15</v>
      </c>
      <c r="N23" s="222">
        <f>OCTUBRE!N20+NOVIEMBRE!N19</f>
        <v>11215.12</v>
      </c>
      <c r="O23" s="223">
        <f>SUM(M23:N23)</f>
        <v>48091.270000000004</v>
      </c>
      <c r="P23" s="230"/>
      <c r="Q23" s="217"/>
      <c r="R23" s="217"/>
      <c r="S23" s="217"/>
      <c r="T23" s="217"/>
    </row>
    <row r="24" spans="1:20" ht="126" x14ac:dyDescent="0.25">
      <c r="A24" s="218">
        <f>OCTUBRE!A23+NOVIEMBRE!A22</f>
        <v>2</v>
      </c>
      <c r="B24" s="221" t="s">
        <v>62</v>
      </c>
      <c r="C24" s="594" t="s">
        <v>178</v>
      </c>
      <c r="D24" s="221" t="s">
        <v>23</v>
      </c>
      <c r="E24" s="251" t="s">
        <v>153</v>
      </c>
      <c r="F24" s="221" t="s">
        <v>65</v>
      </c>
      <c r="G24" s="257">
        <f>OCTUBRE!G18+OCTUBRE!G23+NOVIEMBRE!G22</f>
        <v>32</v>
      </c>
      <c r="H24" s="257">
        <f>OCTUBRE!H18+OCTUBRE!H23+NOVIEMBRE!H22</f>
        <v>42</v>
      </c>
      <c r="I24" s="257">
        <f>OCTUBRE!I18+OCTUBRE!I23+NOVIEMBRE!I22</f>
        <v>1</v>
      </c>
      <c r="J24" s="257">
        <f>OCTUBRE!J18+OCTUBRE!J23+NOVIEMBRE!J22</f>
        <v>1035000</v>
      </c>
      <c r="K24" s="257">
        <f>OCTUBRE!K18+OCTUBRE!K23+NOVIEMBRE!K22</f>
        <v>9000</v>
      </c>
      <c r="L24" s="257">
        <f>OCTUBRE!L18+OCTUBRE!L23+NOVIEMBRE!L22</f>
        <v>27900</v>
      </c>
      <c r="M24" s="257">
        <f>OCTUBRE!M18+OCTUBRE!M23+NOVIEMBRE!M22</f>
        <v>265124.14</v>
      </c>
      <c r="N24" s="257">
        <f>OCTUBRE!N18+OCTUBRE!N23+NOVIEMBRE!N22</f>
        <v>31214.04</v>
      </c>
      <c r="O24" s="223">
        <f>SUM(M24:N24)</f>
        <v>296338.18</v>
      </c>
      <c r="P24" s="230"/>
      <c r="R24" s="217"/>
      <c r="S24" s="217"/>
    </row>
    <row r="25" spans="1:20" ht="79.5" thickBot="1" x14ac:dyDescent="0.3">
      <c r="A25" s="596">
        <f>OCTUBRE!A21</f>
        <v>1</v>
      </c>
      <c r="B25" s="220" t="s">
        <v>61</v>
      </c>
      <c r="C25" s="390" t="s">
        <v>280</v>
      </c>
      <c r="D25" s="302" t="s">
        <v>23</v>
      </c>
      <c r="E25" s="251" t="s">
        <v>153</v>
      </c>
      <c r="F25" s="597" t="s">
        <v>169</v>
      </c>
      <c r="G25" s="304">
        <f>OCTUBRE!G21</f>
        <v>16</v>
      </c>
      <c r="H25" s="304">
        <f>OCTUBRE!H21</f>
        <v>0</v>
      </c>
      <c r="I25" s="304">
        <f>OCTUBRE!I21</f>
        <v>0</v>
      </c>
      <c r="J25" s="304">
        <f>OCTUBRE!J21</f>
        <v>0</v>
      </c>
      <c r="K25" s="304">
        <f>OCTUBRE!K21</f>
        <v>3800</v>
      </c>
      <c r="L25" s="304">
        <f>OCTUBRE!L21</f>
        <v>22800</v>
      </c>
      <c r="M25" s="304">
        <f>OCTUBRE!M21</f>
        <v>0</v>
      </c>
      <c r="N25" s="304">
        <f>OCTUBRE!N21</f>
        <v>20800</v>
      </c>
      <c r="O25" s="282">
        <f>SUM(M25:N25)</f>
        <v>20800</v>
      </c>
      <c r="P25" s="230"/>
    </row>
    <row r="26" spans="1:20" ht="25.5" customHeight="1" thickBot="1" x14ac:dyDescent="0.3">
      <c r="A26" s="299">
        <f>SUM(A18:A25)</f>
        <v>8</v>
      </c>
      <c r="B26" s="738" t="s">
        <v>24</v>
      </c>
      <c r="C26" s="738"/>
      <c r="D26" s="738"/>
      <c r="E26" s="738"/>
      <c r="F26" s="738"/>
      <c r="G26" s="229">
        <f t="shared" ref="G26:N26" si="1">SUM(G18:G25)</f>
        <v>120</v>
      </c>
      <c r="H26" s="229">
        <f t="shared" si="1"/>
        <v>42</v>
      </c>
      <c r="I26" s="229">
        <f t="shared" si="1"/>
        <v>1</v>
      </c>
      <c r="J26" s="229">
        <f t="shared" si="1"/>
        <v>2265000</v>
      </c>
      <c r="K26" s="229">
        <f t="shared" si="1"/>
        <v>37000</v>
      </c>
      <c r="L26" s="229">
        <f t="shared" si="1"/>
        <v>102743.92</v>
      </c>
      <c r="M26" s="229">
        <f t="shared" si="1"/>
        <v>432258.05000000005</v>
      </c>
      <c r="N26" s="229">
        <f t="shared" si="1"/>
        <v>119274.51999999999</v>
      </c>
      <c r="O26" s="229">
        <f>SUM(O18:O25)</f>
        <v>551532.57000000007</v>
      </c>
      <c r="P26" s="230"/>
      <c r="Q26" s="598"/>
    </row>
    <row r="27" spans="1:20" ht="15.75" customHeight="1" thickBot="1" x14ac:dyDescent="0.3">
      <c r="A27" s="739" t="s">
        <v>25</v>
      </c>
      <c r="B27" s="740"/>
      <c r="C27" s="740"/>
      <c r="D27" s="740"/>
      <c r="E27" s="740"/>
      <c r="F27" s="740"/>
      <c r="G27" s="740"/>
      <c r="H27" s="231"/>
      <c r="I27" s="231"/>
      <c r="J27" s="232"/>
      <c r="K27" s="232"/>
      <c r="L27" s="232"/>
      <c r="M27" s="233">
        <v>0</v>
      </c>
      <c r="N27" s="233">
        <f>N26*-0.1</f>
        <v>-11927.451999999999</v>
      </c>
      <c r="O27" s="233">
        <f>N27</f>
        <v>-11927.451999999999</v>
      </c>
    </row>
    <row r="28" spans="1:20" ht="15.75" customHeight="1" thickBot="1" x14ac:dyDescent="0.3">
      <c r="A28" s="738" t="s">
        <v>26</v>
      </c>
      <c r="B28" s="738"/>
      <c r="C28" s="738"/>
      <c r="D28" s="738"/>
      <c r="E28" s="738"/>
      <c r="F28" s="738"/>
      <c r="G28" s="738"/>
      <c r="H28" s="234"/>
      <c r="I28" s="234"/>
      <c r="J28" s="235"/>
      <c r="K28" s="235"/>
      <c r="L28" s="235"/>
      <c r="M28" s="233">
        <f>+M26+M27</f>
        <v>432258.05000000005</v>
      </c>
      <c r="N28" s="233">
        <f>+N26+N27</f>
        <v>107347.06799999998</v>
      </c>
      <c r="O28" s="233">
        <f>+O26+O27</f>
        <v>539605.11800000002</v>
      </c>
      <c r="P28" s="230"/>
    </row>
    <row r="29" spans="1:20" x14ac:dyDescent="0.25">
      <c r="A29" s="236"/>
      <c r="B29" s="236"/>
      <c r="C29" s="236"/>
      <c r="D29" s="236"/>
      <c r="E29" s="236"/>
      <c r="F29" s="236"/>
      <c r="G29" s="236"/>
      <c r="H29" s="237"/>
      <c r="I29" s="237"/>
      <c r="J29" s="238"/>
      <c r="K29" s="238"/>
      <c r="L29" s="238"/>
      <c r="M29" s="238"/>
      <c r="N29" s="238"/>
      <c r="O29" s="239"/>
    </row>
    <row r="30" spans="1:20" ht="16.5" customHeight="1" thickBot="1" x14ac:dyDescent="0.3">
      <c r="A30" s="756" t="s">
        <v>27</v>
      </c>
      <c r="B30" s="756"/>
      <c r="C30" s="756"/>
      <c r="D30" s="756"/>
      <c r="E30" s="756"/>
      <c r="F30" s="756"/>
      <c r="G30" s="756"/>
      <c r="H30" s="756"/>
      <c r="I30" s="756"/>
      <c r="J30" s="756"/>
      <c r="K30" s="756"/>
      <c r="L30" s="756"/>
      <c r="M30" s="756"/>
      <c r="N30" s="424"/>
      <c r="O30" s="424"/>
    </row>
    <row r="31" spans="1:20" ht="23.25" customHeight="1" thickBot="1" x14ac:dyDescent="0.3">
      <c r="A31" s="742" t="s">
        <v>6</v>
      </c>
      <c r="B31" s="744" t="s">
        <v>7</v>
      </c>
      <c r="C31" s="745"/>
      <c r="D31" s="733" t="s">
        <v>8</v>
      </c>
      <c r="E31" s="733" t="s">
        <v>9</v>
      </c>
      <c r="F31" s="733" t="s">
        <v>10</v>
      </c>
      <c r="G31" s="733" t="s">
        <v>28</v>
      </c>
      <c r="H31" s="744" t="s">
        <v>12</v>
      </c>
      <c r="I31" s="745"/>
      <c r="J31" s="733" t="s">
        <v>59</v>
      </c>
      <c r="K31" s="203"/>
      <c r="L31" s="203"/>
      <c r="M31" s="733" t="s">
        <v>13</v>
      </c>
      <c r="N31" s="733" t="s">
        <v>14</v>
      </c>
      <c r="O31" s="735" t="s">
        <v>15</v>
      </c>
    </row>
    <row r="32" spans="1:20" ht="0.75" customHeight="1" thickBot="1" x14ac:dyDescent="0.3">
      <c r="A32" s="743"/>
      <c r="B32" s="746"/>
      <c r="C32" s="747"/>
      <c r="D32" s="734"/>
      <c r="E32" s="734"/>
      <c r="F32" s="734"/>
      <c r="G32" s="748"/>
      <c r="H32" s="733" t="s">
        <v>20</v>
      </c>
      <c r="I32" s="733" t="s">
        <v>17</v>
      </c>
      <c r="J32" s="749"/>
      <c r="K32" s="207"/>
      <c r="L32" s="207"/>
      <c r="M32" s="749"/>
      <c r="N32" s="734"/>
      <c r="O32" s="736"/>
    </row>
    <row r="33" spans="1:19" ht="42.75" customHeight="1" x14ac:dyDescent="0.25">
      <c r="A33" s="774"/>
      <c r="B33" s="599" t="s">
        <v>18</v>
      </c>
      <c r="C33" s="403" t="s">
        <v>19</v>
      </c>
      <c r="D33" s="734"/>
      <c r="E33" s="734"/>
      <c r="F33" s="734"/>
      <c r="G33" s="748"/>
      <c r="H33" s="734"/>
      <c r="I33" s="734"/>
      <c r="J33" s="749"/>
      <c r="K33" s="205" t="s">
        <v>21</v>
      </c>
      <c r="L33" s="205" t="s">
        <v>22</v>
      </c>
      <c r="M33" s="749"/>
      <c r="N33" s="734"/>
      <c r="O33" s="737"/>
    </row>
    <row r="34" spans="1:19" ht="107.25" customHeight="1" x14ac:dyDescent="0.25">
      <c r="A34" s="248">
        <f>OCTUBRE!A38+NOVIEMBRE!A35+NOVIEMBRE!A39</f>
        <v>3</v>
      </c>
      <c r="B34" s="220" t="s">
        <v>106</v>
      </c>
      <c r="C34" s="600" t="s">
        <v>281</v>
      </c>
      <c r="D34" s="221" t="s">
        <v>29</v>
      </c>
      <c r="E34" s="251" t="s">
        <v>153</v>
      </c>
      <c r="F34" s="221" t="s">
        <v>119</v>
      </c>
      <c r="G34" s="221">
        <f>OCTUBRE!G38+NOVIEMBRE!G35+NOVIEMBRE!G39</f>
        <v>40</v>
      </c>
      <c r="H34" s="221">
        <f>OCTUBRE!H38+NOVIEMBRE!H35+NOVIEMBRE!H39</f>
        <v>0</v>
      </c>
      <c r="I34" s="221">
        <f>OCTUBRE!I38+NOVIEMBRE!I35+NOVIEMBRE!I39</f>
        <v>0</v>
      </c>
      <c r="J34" s="221">
        <f>OCTUBRE!J38+NOVIEMBRE!J35+NOVIEMBRE!J39</f>
        <v>1070000</v>
      </c>
      <c r="K34" s="221">
        <f>OCTUBRE!K38+NOVIEMBRE!K35+NOVIEMBRE!K39</f>
        <v>5010</v>
      </c>
      <c r="L34" s="221">
        <f>OCTUBRE!L38+NOVIEMBRE!L35+NOVIEMBRE!L39</f>
        <v>30274.156999999999</v>
      </c>
      <c r="M34" s="221">
        <f>OCTUBRE!M38+NOVIEMBRE!M35+NOVIEMBRE!M39</f>
        <v>33798.959999999999</v>
      </c>
      <c r="N34" s="221">
        <f>OCTUBRE!N38+NOVIEMBRE!N35+NOVIEMBRE!N39</f>
        <v>0</v>
      </c>
      <c r="O34" s="258">
        <f>SUM(M34:N34)</f>
        <v>33798.959999999999</v>
      </c>
      <c r="P34" s="230"/>
    </row>
    <row r="35" spans="1:19" ht="107.25" customHeight="1" x14ac:dyDescent="0.25">
      <c r="A35" s="248">
        <f>OCTUBRE!A39+OCTUBRE!A41+NOVIEMBRE!A40</f>
        <v>1</v>
      </c>
      <c r="B35" s="220" t="s">
        <v>85</v>
      </c>
      <c r="C35" s="249" t="s">
        <v>282</v>
      </c>
      <c r="D35" s="221" t="s">
        <v>29</v>
      </c>
      <c r="E35" s="251" t="s">
        <v>153</v>
      </c>
      <c r="F35" s="221" t="s">
        <v>120</v>
      </c>
      <c r="G35" s="221">
        <f>OCTUBRE!G39+OCTUBRE!G41+NOVIEMBRE!G40</f>
        <v>24</v>
      </c>
      <c r="H35" s="221">
        <f>OCTUBRE!H39+OCTUBRE!H41+NOVIEMBRE!H40</f>
        <v>0</v>
      </c>
      <c r="I35" s="221">
        <f>OCTUBRE!I39+OCTUBRE!I41+NOVIEMBRE!I40</f>
        <v>0</v>
      </c>
      <c r="J35" s="221">
        <f>OCTUBRE!J39+OCTUBRE!J41+NOVIEMBRE!J40</f>
        <v>0</v>
      </c>
      <c r="K35" s="221">
        <f>OCTUBRE!K39+OCTUBRE!K41+NOVIEMBRE!K40</f>
        <v>7650</v>
      </c>
      <c r="L35" s="221">
        <f>OCTUBRE!L39+OCTUBRE!L41+NOVIEMBRE!L40</f>
        <v>36120</v>
      </c>
      <c r="M35" s="221">
        <f>OCTUBRE!M39+OCTUBRE!M41+NOVIEMBRE!M40</f>
        <v>43439.46</v>
      </c>
      <c r="N35" s="221">
        <f>OCTUBRE!N39+OCTUBRE!N41+NOVIEMBRE!N40</f>
        <v>20828.080000000002</v>
      </c>
      <c r="O35" s="258">
        <f>SUM(M35:N35)</f>
        <v>64267.54</v>
      </c>
      <c r="P35" s="230"/>
    </row>
    <row r="36" spans="1:19" ht="80.25" hidden="1" customHeight="1" x14ac:dyDescent="0.25">
      <c r="A36" s="248">
        <f>OCTUBRE!A34+OCTUBRE!A36</f>
        <v>0</v>
      </c>
      <c r="B36" s="220" t="s">
        <v>85</v>
      </c>
      <c r="C36" s="243" t="s">
        <v>283</v>
      </c>
      <c r="D36" s="221" t="s">
        <v>29</v>
      </c>
      <c r="E36" s="251" t="s">
        <v>153</v>
      </c>
      <c r="F36" s="221" t="s">
        <v>131</v>
      </c>
      <c r="G36" s="221">
        <f>OCTUBRE!G34+OCTUBRE!G36</f>
        <v>0</v>
      </c>
      <c r="H36" s="221">
        <f>OCTUBRE!H34+OCTUBRE!H36</f>
        <v>0</v>
      </c>
      <c r="I36" s="221">
        <f>OCTUBRE!I34+OCTUBRE!I36</f>
        <v>0</v>
      </c>
      <c r="J36" s="221"/>
      <c r="K36" s="221">
        <f>OCTUBRE!K34+OCTUBRE!K36</f>
        <v>0</v>
      </c>
      <c r="L36" s="221">
        <f>OCTUBRE!L34+OCTUBRE!L36</f>
        <v>0</v>
      </c>
      <c r="M36" s="221">
        <f>OCTUBRE!M34+OCTUBRE!M36</f>
        <v>0</v>
      </c>
      <c r="N36" s="221">
        <f>OCTUBRE!N34+OCTUBRE!N36</f>
        <v>0</v>
      </c>
      <c r="O36" s="258">
        <f t="shared" ref="O36:O41" si="2">SUM(M36:N36)</f>
        <v>0</v>
      </c>
      <c r="P36" s="230"/>
    </row>
    <row r="37" spans="1:19" ht="107.25" hidden="1" customHeight="1" x14ac:dyDescent="0.25">
      <c r="A37" s="248">
        <f>OCTUBRE!A35</f>
        <v>0</v>
      </c>
      <c r="B37" s="220"/>
      <c r="C37" s="192" t="s">
        <v>284</v>
      </c>
      <c r="D37" s="220" t="s">
        <v>29</v>
      </c>
      <c r="E37" s="251" t="s">
        <v>153</v>
      </c>
      <c r="F37" s="220" t="s">
        <v>105</v>
      </c>
      <c r="G37" s="221">
        <f>OCTUBRE!G35</f>
        <v>0</v>
      </c>
      <c r="H37" s="221">
        <f>OCTUBRE!H35</f>
        <v>0</v>
      </c>
      <c r="I37" s="221">
        <f>OCTUBRE!I35</f>
        <v>0</v>
      </c>
      <c r="J37" s="221">
        <f>OCTUBRE!J35</f>
        <v>0</v>
      </c>
      <c r="K37" s="221">
        <f>OCTUBRE!K35</f>
        <v>0</v>
      </c>
      <c r="L37" s="221">
        <f>OCTUBRE!L35</f>
        <v>0</v>
      </c>
      <c r="M37" s="221">
        <f>OCTUBRE!M35</f>
        <v>0</v>
      </c>
      <c r="N37" s="221">
        <f>OCTUBRE!N35</f>
        <v>0</v>
      </c>
      <c r="O37" s="258">
        <f t="shared" si="2"/>
        <v>0</v>
      </c>
      <c r="P37" s="230"/>
    </row>
    <row r="38" spans="1:19" ht="57" customHeight="1" x14ac:dyDescent="0.25">
      <c r="A38" s="248">
        <f>OCTUBRE!A40+NOVIEMBRE!A36+NOVIEMBRE!A38+DICIEMBRE!A32</f>
        <v>1</v>
      </c>
      <c r="B38" s="220" t="s">
        <v>106</v>
      </c>
      <c r="C38" s="192" t="s">
        <v>285</v>
      </c>
      <c r="D38" s="221" t="s">
        <v>29</v>
      </c>
      <c r="E38" s="251" t="s">
        <v>153</v>
      </c>
      <c r="F38" s="220" t="s">
        <v>110</v>
      </c>
      <c r="G38" s="221">
        <f>OCTUBRE!G40+NOVIEMBRE!G36+NOVIEMBRE!G38+DICIEMBRE!G32</f>
        <v>40</v>
      </c>
      <c r="H38" s="221">
        <f>OCTUBRE!H40+NOVIEMBRE!H36+NOVIEMBRE!H38+DICIEMBRE!H32</f>
        <v>0</v>
      </c>
      <c r="I38" s="221">
        <f>OCTUBRE!I40+NOVIEMBRE!I36+NOVIEMBRE!I38+DICIEMBRE!I32</f>
        <v>0</v>
      </c>
      <c r="J38" s="221">
        <f>OCTUBRE!J40+NOVIEMBRE!J36+NOVIEMBRE!J38+DICIEMBRE!J32</f>
        <v>0</v>
      </c>
      <c r="K38" s="221">
        <f>OCTUBRE!K40+NOVIEMBRE!K36+NOVIEMBRE!K38+DICIEMBRE!K32</f>
        <v>9860</v>
      </c>
      <c r="L38" s="221">
        <f>OCTUBRE!L40+NOVIEMBRE!L36+NOVIEMBRE!L38+DICIEMBRE!L32</f>
        <v>41789.156999999999</v>
      </c>
      <c r="M38" s="221">
        <f>OCTUBRE!M40+NOVIEMBRE!M36+NOVIEMBRE!M38+DICIEMBRE!M32</f>
        <v>8610.0499999999993</v>
      </c>
      <c r="N38" s="221">
        <f>OCTUBRE!N40+NOVIEMBRE!N36+NOVIEMBRE!N38+DICIEMBRE!N32</f>
        <v>0</v>
      </c>
      <c r="O38" s="258">
        <f>SUM(M38:N38)</f>
        <v>8610.0499999999993</v>
      </c>
      <c r="P38" s="230"/>
    </row>
    <row r="39" spans="1:19" ht="76.5" customHeight="1" x14ac:dyDescent="0.25">
      <c r="A39" s="248">
        <f>NOVIEMBRE!A37+DICIEMBRE!A31+DICIEMBRE!A33+DICIEMBRE!A34</f>
        <v>2</v>
      </c>
      <c r="B39" s="220" t="s">
        <v>30</v>
      </c>
      <c r="C39" s="249" t="s">
        <v>286</v>
      </c>
      <c r="D39" s="221" t="s">
        <v>29</v>
      </c>
      <c r="E39" s="251" t="s">
        <v>153</v>
      </c>
      <c r="F39" s="221" t="s">
        <v>112</v>
      </c>
      <c r="G39" s="221">
        <f>NOVIEMBRE!G37+DICIEMBRE!G31+DICIEMBRE!G33+DICIEMBRE!G34</f>
        <v>40</v>
      </c>
      <c r="H39" s="221">
        <f>NOVIEMBRE!H37+DICIEMBRE!H31+DICIEMBRE!H33+DICIEMBRE!H34</f>
        <v>0</v>
      </c>
      <c r="I39" s="221">
        <f>NOVIEMBRE!I37+DICIEMBRE!I31+DICIEMBRE!I33+DICIEMBRE!I34</f>
        <v>0</v>
      </c>
      <c r="J39" s="221">
        <f>NOVIEMBRE!J37+DICIEMBRE!J31+DICIEMBRE!J33+DICIEMBRE!J34</f>
        <v>650000</v>
      </c>
      <c r="K39" s="221">
        <f>NOVIEMBRE!K37+DICIEMBRE!K31+DICIEMBRE!K33+DICIEMBRE!K34</f>
        <v>12880</v>
      </c>
      <c r="L39" s="221">
        <f>NOVIEMBRE!L37+DICIEMBRE!L31+DICIEMBRE!L33+DICIEMBRE!L34</f>
        <v>61163.876000000004</v>
      </c>
      <c r="M39" s="221">
        <f>NOVIEMBRE!M37+DICIEMBRE!M31+DICIEMBRE!M33+DICIEMBRE!M34</f>
        <v>16677.53</v>
      </c>
      <c r="N39" s="221">
        <f>NOVIEMBRE!N37+DICIEMBRE!N31+DICIEMBRE!N33+DICIEMBRE!N34</f>
        <v>44800</v>
      </c>
      <c r="O39" s="258">
        <f>SUM(M39:N39)</f>
        <v>61477.53</v>
      </c>
      <c r="P39" s="230"/>
    </row>
    <row r="40" spans="1:19" ht="71.25" hidden="1" customHeight="1" x14ac:dyDescent="0.25">
      <c r="A40" s="248">
        <f>NOVIEMBRE!A37+DICIEMBRE!A34</f>
        <v>1</v>
      </c>
      <c r="B40" s="220" t="s">
        <v>94</v>
      </c>
      <c r="C40" s="249" t="s">
        <v>287</v>
      </c>
      <c r="D40" s="221" t="s">
        <v>29</v>
      </c>
      <c r="E40" s="251" t="s">
        <v>153</v>
      </c>
      <c r="F40" s="221" t="s">
        <v>93</v>
      </c>
      <c r="G40" s="221"/>
      <c r="H40" s="221">
        <f>NOVIEMBRE!H37+DICIEMBRE!H34</f>
        <v>0</v>
      </c>
      <c r="I40" s="221">
        <f>NOVIEMBRE!I37+DICIEMBRE!I34</f>
        <v>0</v>
      </c>
      <c r="J40" s="221">
        <f>NOVIEMBRE!J37+DICIEMBRE!J34</f>
        <v>0</v>
      </c>
      <c r="K40" s="221"/>
      <c r="L40" s="221"/>
      <c r="M40" s="221"/>
      <c r="N40" s="221"/>
      <c r="O40" s="258"/>
      <c r="P40" s="230"/>
    </row>
    <row r="41" spans="1:19" ht="72" hidden="1" customHeight="1" x14ac:dyDescent="0.25">
      <c r="A41" s="253"/>
      <c r="B41" s="220" t="s">
        <v>85</v>
      </c>
      <c r="C41" s="587"/>
      <c r="D41" s="221" t="s">
        <v>29</v>
      </c>
      <c r="E41" s="251" t="s">
        <v>153</v>
      </c>
      <c r="F41" s="221"/>
      <c r="G41" s="601"/>
      <c r="H41" s="601"/>
      <c r="I41" s="601"/>
      <c r="J41" s="601"/>
      <c r="K41" s="601"/>
      <c r="L41" s="601"/>
      <c r="M41" s="601"/>
      <c r="N41" s="601"/>
      <c r="O41" s="258">
        <f t="shared" si="2"/>
        <v>0</v>
      </c>
      <c r="P41" s="230"/>
    </row>
    <row r="42" spans="1:19" ht="81" customHeight="1" thickBot="1" x14ac:dyDescent="0.3">
      <c r="A42" s="253">
        <f>OCTUBRE!A42+OCTUBRE!A37+NOVIEMBRE!A41</f>
        <v>3</v>
      </c>
      <c r="B42" s="220" t="s">
        <v>106</v>
      </c>
      <c r="C42" s="249" t="s">
        <v>288</v>
      </c>
      <c r="D42" s="221" t="s">
        <v>29</v>
      </c>
      <c r="E42" s="251" t="s">
        <v>153</v>
      </c>
      <c r="F42" s="221" t="s">
        <v>132</v>
      </c>
      <c r="G42" s="602">
        <f>OCTUBRE!G42+OCTUBRE!G37+NOVIEMBRE!G41</f>
        <v>40</v>
      </c>
      <c r="H42" s="602">
        <f>OCTUBRE!H42+OCTUBRE!H37+NOVIEMBRE!H41</f>
        <v>0</v>
      </c>
      <c r="I42" s="602">
        <f>OCTUBRE!I42+OCTUBRE!I37+NOVIEMBRE!I41</f>
        <v>0</v>
      </c>
      <c r="J42" s="602">
        <f>OCTUBRE!J42+OCTUBRE!J37+NOVIEMBRE!J41</f>
        <v>650000</v>
      </c>
      <c r="K42" s="602">
        <f>OCTUBRE!K42+OCTUBRE!K37+NOVIEMBRE!K41</f>
        <v>15300</v>
      </c>
      <c r="L42" s="602">
        <f>OCTUBRE!L42+OCTUBRE!L37+NOVIEMBRE!L41</f>
        <v>46200</v>
      </c>
      <c r="M42" s="602">
        <f>OCTUBRE!M42+OCTUBRE!M37+NOVIEMBRE!M41</f>
        <v>32000</v>
      </c>
      <c r="N42" s="602">
        <f>OCTUBRE!N42+OCTUBRE!N37+NOVIEMBRE!N41</f>
        <v>22400</v>
      </c>
      <c r="O42" s="258">
        <f>SUM(M42:N42)</f>
        <v>54400</v>
      </c>
      <c r="P42" s="230"/>
    </row>
    <row r="43" spans="1:19" ht="40.5" hidden="1" customHeight="1" x14ac:dyDescent="0.25">
      <c r="A43" s="253"/>
      <c r="B43" s="221"/>
      <c r="C43" s="603" t="s">
        <v>289</v>
      </c>
      <c r="D43" s="221" t="s">
        <v>29</v>
      </c>
      <c r="E43" s="194" t="s">
        <v>130</v>
      </c>
      <c r="F43" s="221" t="s">
        <v>122</v>
      </c>
      <c r="G43" s="256"/>
      <c r="H43" s="256"/>
      <c r="I43" s="604"/>
      <c r="J43" s="604"/>
      <c r="K43" s="604"/>
      <c r="L43" s="604"/>
      <c r="M43" s="604">
        <f>DICIEMBRE!M40</f>
        <v>0</v>
      </c>
      <c r="N43" s="604"/>
      <c r="O43" s="605">
        <f t="shared" ref="O43" si="3">SUM(M43:N43)</f>
        <v>0</v>
      </c>
      <c r="P43" s="217"/>
      <c r="Q43" s="217"/>
      <c r="R43" s="217"/>
      <c r="S43" s="217"/>
    </row>
    <row r="44" spans="1:19" ht="48" hidden="1" thickBot="1" x14ac:dyDescent="0.3">
      <c r="A44" s="606">
        <v>0</v>
      </c>
      <c r="B44" s="607"/>
      <c r="C44" s="608"/>
      <c r="D44" s="607" t="s">
        <v>29</v>
      </c>
      <c r="E44" s="607" t="s">
        <v>91</v>
      </c>
      <c r="F44" s="609"/>
      <c r="G44" s="610"/>
      <c r="H44" s="610"/>
      <c r="I44" s="611"/>
      <c r="J44" s="611"/>
      <c r="K44" s="611"/>
      <c r="L44" s="611"/>
      <c r="M44" s="611"/>
      <c r="N44" s="611"/>
      <c r="O44" s="612">
        <f>SUM(M44:N44)</f>
        <v>0</v>
      </c>
      <c r="P44" s="217"/>
      <c r="Q44" s="199"/>
    </row>
    <row r="45" spans="1:19" ht="16.5" thickBot="1" x14ac:dyDescent="0.3">
      <c r="A45" s="403">
        <f>SUM(A34:A44)</f>
        <v>11</v>
      </c>
      <c r="B45" s="857" t="s">
        <v>24</v>
      </c>
      <c r="C45" s="858"/>
      <c r="D45" s="858"/>
      <c r="E45" s="858"/>
      <c r="F45" s="859"/>
      <c r="G45" s="613">
        <f t="shared" ref="G45:M45" si="4">SUM(G34:G44)</f>
        <v>184</v>
      </c>
      <c r="H45" s="614">
        <f t="shared" si="4"/>
        <v>0</v>
      </c>
      <c r="I45" s="615">
        <f t="shared" si="4"/>
        <v>0</v>
      </c>
      <c r="J45" s="616">
        <f t="shared" si="4"/>
        <v>2370000</v>
      </c>
      <c r="K45" s="615">
        <f t="shared" si="4"/>
        <v>50700</v>
      </c>
      <c r="L45" s="615">
        <f t="shared" si="4"/>
        <v>215547.19</v>
      </c>
      <c r="M45" s="615">
        <f t="shared" si="4"/>
        <v>134526</v>
      </c>
      <c r="N45" s="615">
        <f>SUM(N34:N44)</f>
        <v>88028.08</v>
      </c>
      <c r="O45" s="617">
        <f>SUM(O34:O44)</f>
        <v>222554.08000000002</v>
      </c>
      <c r="P45" s="230"/>
      <c r="Q45" s="230"/>
    </row>
    <row r="46" spans="1:19" ht="16.5" thickBot="1" x14ac:dyDescent="0.3">
      <c r="A46" s="860" t="s">
        <v>25</v>
      </c>
      <c r="B46" s="861"/>
      <c r="C46" s="861"/>
      <c r="D46" s="861"/>
      <c r="E46" s="861"/>
      <c r="F46" s="861"/>
      <c r="G46" s="862"/>
      <c r="H46" s="618"/>
      <c r="I46" s="619"/>
      <c r="J46" s="620"/>
      <c r="K46" s="545"/>
      <c r="L46" s="545"/>
      <c r="M46" s="545">
        <v>0</v>
      </c>
      <c r="N46" s="545">
        <f>0.1*-N45</f>
        <v>-8802.8080000000009</v>
      </c>
      <c r="O46" s="621">
        <f>SUM(N46:N46)</f>
        <v>-8802.8080000000009</v>
      </c>
    </row>
    <row r="47" spans="1:19" ht="16.5" thickBot="1" x14ac:dyDescent="0.3">
      <c r="A47" s="777" t="s">
        <v>31</v>
      </c>
      <c r="B47" s="778"/>
      <c r="C47" s="778"/>
      <c r="D47" s="778"/>
      <c r="E47" s="778"/>
      <c r="F47" s="778"/>
      <c r="G47" s="779"/>
      <c r="H47" s="268"/>
      <c r="I47" s="622"/>
      <c r="J47" s="270"/>
      <c r="K47" s="270"/>
      <c r="L47" s="270"/>
      <c r="M47" s="270">
        <f>SUM(M45:M46)</f>
        <v>134526</v>
      </c>
      <c r="N47" s="271">
        <f>+N45+N46</f>
        <v>79225.271999999997</v>
      </c>
      <c r="O47" s="623">
        <f>+O45+O46</f>
        <v>213751.27200000003</v>
      </c>
      <c r="P47" s="230"/>
      <c r="Q47" s="598"/>
      <c r="R47" s="199"/>
    </row>
    <row r="48" spans="1:19" x14ac:dyDescent="0.25">
      <c r="A48" s="236"/>
      <c r="B48" s="236"/>
      <c r="C48" s="236"/>
      <c r="D48" s="236"/>
      <c r="E48" s="236"/>
      <c r="F48" s="236"/>
      <c r="G48" s="236"/>
      <c r="H48" s="237"/>
      <c r="I48" s="237"/>
      <c r="J48" s="238"/>
      <c r="K48" s="238"/>
      <c r="L48" s="238"/>
      <c r="M48" s="238"/>
      <c r="N48" s="238"/>
      <c r="O48" s="239"/>
      <c r="P48" s="199"/>
    </row>
    <row r="49" spans="1:18" ht="15.75" customHeight="1" thickBot="1" x14ac:dyDescent="0.3">
      <c r="A49" s="756" t="s">
        <v>32</v>
      </c>
      <c r="B49" s="756"/>
      <c r="C49" s="756"/>
      <c r="D49" s="756"/>
      <c r="E49" s="756"/>
      <c r="F49" s="756"/>
      <c r="G49" s="756"/>
      <c r="H49" s="756"/>
      <c r="I49" s="756"/>
      <c r="J49" s="756"/>
      <c r="K49" s="756"/>
      <c r="L49" s="756"/>
      <c r="M49" s="756"/>
      <c r="N49" s="453"/>
      <c r="O49" s="453"/>
    </row>
    <row r="50" spans="1:18" ht="23.25" customHeight="1" thickBot="1" x14ac:dyDescent="0.3">
      <c r="A50" s="742" t="s">
        <v>6</v>
      </c>
      <c r="B50" s="744" t="s">
        <v>7</v>
      </c>
      <c r="C50" s="745"/>
      <c r="D50" s="733" t="s">
        <v>8</v>
      </c>
      <c r="E50" s="733" t="s">
        <v>9</v>
      </c>
      <c r="F50" s="733" t="s">
        <v>10</v>
      </c>
      <c r="G50" s="733" t="s">
        <v>28</v>
      </c>
      <c r="H50" s="744" t="s">
        <v>12</v>
      </c>
      <c r="I50" s="745"/>
      <c r="J50" s="733" t="s">
        <v>59</v>
      </c>
      <c r="K50" s="203"/>
      <c r="L50" s="203"/>
      <c r="M50" s="733" t="s">
        <v>13</v>
      </c>
      <c r="N50" s="733" t="s">
        <v>14</v>
      </c>
      <c r="O50" s="735" t="s">
        <v>15</v>
      </c>
    </row>
    <row r="51" spans="1:18" ht="2.25" customHeight="1" thickBot="1" x14ac:dyDescent="0.3">
      <c r="A51" s="743"/>
      <c r="B51" s="746"/>
      <c r="C51" s="747"/>
      <c r="D51" s="748"/>
      <c r="E51" s="748"/>
      <c r="F51" s="748"/>
      <c r="G51" s="748"/>
      <c r="H51" s="733" t="s">
        <v>20</v>
      </c>
      <c r="I51" s="733" t="s">
        <v>17</v>
      </c>
      <c r="J51" s="749"/>
      <c r="K51" s="207"/>
      <c r="L51" s="207"/>
      <c r="M51" s="749"/>
      <c r="N51" s="734"/>
      <c r="O51" s="736"/>
    </row>
    <row r="52" spans="1:18" ht="28.5" customHeight="1" x14ac:dyDescent="0.25">
      <c r="A52" s="774"/>
      <c r="B52" s="203" t="s">
        <v>18</v>
      </c>
      <c r="C52" s="403" t="s">
        <v>19</v>
      </c>
      <c r="D52" s="748"/>
      <c r="E52" s="748"/>
      <c r="F52" s="748"/>
      <c r="G52" s="748"/>
      <c r="H52" s="734"/>
      <c r="I52" s="734"/>
      <c r="J52" s="749"/>
      <c r="K52" s="205" t="s">
        <v>21</v>
      </c>
      <c r="L52" s="205" t="s">
        <v>22</v>
      </c>
      <c r="M52" s="749"/>
      <c r="N52" s="734"/>
      <c r="O52" s="737"/>
    </row>
    <row r="53" spans="1:18" ht="97.5" customHeight="1" x14ac:dyDescent="0.25">
      <c r="A53" s="218">
        <f>OCTUBRE!A55+OCTUBRE!A54+NOVIEMBRE!A52+DICIEMBRE!A49+DICIEMBRE!A51</f>
        <v>5</v>
      </c>
      <c r="B53" s="220" t="s">
        <v>164</v>
      </c>
      <c r="C53" s="192" t="s">
        <v>226</v>
      </c>
      <c r="D53" s="221" t="s">
        <v>33</v>
      </c>
      <c r="E53" s="251" t="s">
        <v>153</v>
      </c>
      <c r="F53" s="279" t="s">
        <v>166</v>
      </c>
      <c r="G53" s="257">
        <f>OCTUBRE!G54+OCTUBRE!G55+NOVIEMBRE!G52+DICIEMBRE!G51+DICIEMBRE!G49</f>
        <v>80</v>
      </c>
      <c r="H53" s="257">
        <f>OCTUBRE!H54+OCTUBRE!H55+NOVIEMBRE!H52+DICIEMBRE!H51+DICIEMBRE!H49</f>
        <v>0</v>
      </c>
      <c r="I53" s="257">
        <f>OCTUBRE!I54+OCTUBRE!I55+NOVIEMBRE!I52+DICIEMBRE!I51+DICIEMBRE!I49</f>
        <v>0</v>
      </c>
      <c r="J53" s="257">
        <f>OCTUBRE!J54+OCTUBRE!J55+NOVIEMBRE!J52+DICIEMBRE!J51+DICIEMBRE!J49</f>
        <v>0</v>
      </c>
      <c r="K53" s="257">
        <f>OCTUBRE!K54+OCTUBRE!K55+NOVIEMBRE!K52+DICIEMBRE!K51+DICIEMBRE!K49</f>
        <v>29100</v>
      </c>
      <c r="L53" s="257">
        <f>OCTUBRE!L54+OCTUBRE!L55+NOVIEMBRE!L52+DICIEMBRE!L51+DICIEMBRE!L49</f>
        <v>28950</v>
      </c>
      <c r="M53" s="257">
        <f>OCTUBRE!M54+OCTUBRE!M55+NOVIEMBRE!M52+DICIEMBRE!M51+DICIEMBRE!M49</f>
        <v>262480.93</v>
      </c>
      <c r="N53" s="257">
        <f>OCTUBRE!N54+OCTUBRE!N55+NOVIEMBRE!N52+DICIEMBRE!N51+DICIEMBRE!N49</f>
        <v>130825.92</v>
      </c>
      <c r="O53" s="566">
        <f>M53+N53</f>
        <v>393306.85</v>
      </c>
      <c r="P53" s="230"/>
    </row>
    <row r="54" spans="1:18" ht="21.75" hidden="1" customHeight="1" x14ac:dyDescent="0.25">
      <c r="A54" s="218"/>
      <c r="B54" s="220" t="s">
        <v>57</v>
      </c>
      <c r="C54" s="567" t="s">
        <v>261</v>
      </c>
      <c r="D54" s="221" t="s">
        <v>33</v>
      </c>
      <c r="E54" s="251" t="s">
        <v>153</v>
      </c>
      <c r="F54" s="220" t="s">
        <v>58</v>
      </c>
      <c r="G54" s="257"/>
      <c r="H54" s="257"/>
      <c r="I54" s="257"/>
      <c r="J54" s="257"/>
      <c r="K54" s="257"/>
      <c r="L54" s="257"/>
      <c r="M54" s="568">
        <f>OCTUBRE!M54+NOVIEMBRE!M52+DICIEMBRE!M54</f>
        <v>20959.12</v>
      </c>
      <c r="N54" s="257"/>
      <c r="O54" s="566"/>
      <c r="P54" s="230"/>
    </row>
    <row r="55" spans="1:18" ht="93" customHeight="1" x14ac:dyDescent="0.25">
      <c r="A55" s="218">
        <f>OCTUBRE!A52+OCTUBRE!A53+NOVIEMBRE!A50+NOVIEMBRE!A51+NOVIEMBRE!A53+DICIEMBRE!A50</f>
        <v>6</v>
      </c>
      <c r="B55" s="220" t="s">
        <v>57</v>
      </c>
      <c r="C55" s="192" t="s">
        <v>227</v>
      </c>
      <c r="D55" s="221" t="s">
        <v>33</v>
      </c>
      <c r="E55" s="251" t="s">
        <v>153</v>
      </c>
      <c r="F55" s="220" t="s">
        <v>58</v>
      </c>
      <c r="G55" s="222">
        <f>OCTUBRE!G52+OCTUBRE!G53+NOVIEMBRE!G50+NOVIEMBRE!G51+NOVIEMBRE!G53+DICIEMBRE!G50</f>
        <v>80</v>
      </c>
      <c r="H55" s="222">
        <f>OCTUBRE!H52+OCTUBRE!H53+NOVIEMBRE!H50+NOVIEMBRE!H51+NOVIEMBRE!H53+DICIEMBRE!H50</f>
        <v>29</v>
      </c>
      <c r="I55" s="222">
        <f>OCTUBRE!I52+OCTUBRE!I53+NOVIEMBRE!I50+NOVIEMBRE!I51+NOVIEMBRE!I53+DICIEMBRE!I50</f>
        <v>6</v>
      </c>
      <c r="J55" s="222">
        <f>OCTUBRE!J52+OCTUBRE!J53+NOVIEMBRE!J50+NOVIEMBRE!J51+NOVIEMBRE!J53+DICIEMBRE!J50</f>
        <v>1110000</v>
      </c>
      <c r="K55" s="222">
        <f>OCTUBRE!K52+OCTUBRE!K53+NOVIEMBRE!K50+NOVIEMBRE!K51+NOVIEMBRE!K53+DICIEMBRE!K50</f>
        <v>18950</v>
      </c>
      <c r="L55" s="222">
        <f>OCTUBRE!L52+OCTUBRE!L53+NOVIEMBRE!L50+NOVIEMBRE!L51+NOVIEMBRE!L53+DICIEMBRE!L50</f>
        <v>20650</v>
      </c>
      <c r="M55" s="222">
        <f>OCTUBRE!M52+OCTUBRE!M53+NOVIEMBRE!M50+NOVIEMBRE!M51+NOVIEMBRE!M53+DICIEMBRE!M50</f>
        <v>8981.4500000000007</v>
      </c>
      <c r="N55" s="222">
        <f>OCTUBRE!N52+OCTUBRE!N53+NOVIEMBRE!N50+NOVIEMBRE!N51+NOVIEMBRE!N53+DICIEMBRE!N50</f>
        <v>108891.79999999999</v>
      </c>
      <c r="O55" s="566">
        <f>M55+N55</f>
        <v>117873.24999999999</v>
      </c>
    </row>
    <row r="56" spans="1:18" ht="13.5" customHeight="1" x14ac:dyDescent="0.25">
      <c r="A56" s="569">
        <f>SUM(A53:A55)</f>
        <v>11</v>
      </c>
      <c r="B56" s="213"/>
      <c r="C56" s="212"/>
      <c r="D56" s="213"/>
      <c r="E56" s="212"/>
      <c r="F56" s="213"/>
      <c r="G56" s="570">
        <f t="shared" ref="G56:N56" si="5">SUM(G53:G55)</f>
        <v>160</v>
      </c>
      <c r="H56" s="471">
        <f t="shared" si="5"/>
        <v>29</v>
      </c>
      <c r="I56" s="471">
        <f t="shared" si="5"/>
        <v>6</v>
      </c>
      <c r="J56" s="471">
        <f t="shared" si="5"/>
        <v>1110000</v>
      </c>
      <c r="K56" s="471">
        <f t="shared" si="5"/>
        <v>48050</v>
      </c>
      <c r="L56" s="471">
        <f t="shared" si="5"/>
        <v>49600</v>
      </c>
      <c r="M56" s="471">
        <f t="shared" si="5"/>
        <v>292421.5</v>
      </c>
      <c r="N56" s="471">
        <f t="shared" si="5"/>
        <v>239717.71999999997</v>
      </c>
      <c r="O56" s="473">
        <f>SUM(O53:O55)</f>
        <v>511180.1</v>
      </c>
      <c r="Q56" s="624"/>
    </row>
    <row r="57" spans="1:18" ht="13.5" customHeight="1" x14ac:dyDescent="0.25">
      <c r="A57" s="731" t="s">
        <v>25</v>
      </c>
      <c r="B57" s="732"/>
      <c r="C57" s="732"/>
      <c r="D57" s="732"/>
      <c r="E57" s="732"/>
      <c r="F57" s="732"/>
      <c r="G57" s="732"/>
      <c r="H57" s="474"/>
      <c r="I57" s="474"/>
      <c r="J57" s="571"/>
      <c r="K57" s="475"/>
      <c r="L57" s="475"/>
      <c r="M57" s="266">
        <v>0</v>
      </c>
      <c r="N57" s="266">
        <f>-0.1*N56</f>
        <v>-23971.771999999997</v>
      </c>
      <c r="O57" s="267">
        <f>SUM(N57:N57)</f>
        <v>-23971.771999999997</v>
      </c>
      <c r="P57" s="284"/>
      <c r="Q57" s="230"/>
    </row>
    <row r="58" spans="1:18" ht="18" customHeight="1" thickBot="1" x14ac:dyDescent="0.3">
      <c r="A58" s="777" t="s">
        <v>31</v>
      </c>
      <c r="B58" s="778"/>
      <c r="C58" s="778"/>
      <c r="D58" s="778"/>
      <c r="E58" s="778"/>
      <c r="F58" s="778"/>
      <c r="G58" s="779"/>
      <c r="H58" s="285"/>
      <c r="I58" s="285"/>
      <c r="J58" s="286"/>
      <c r="K58" s="287"/>
      <c r="L58" s="287"/>
      <c r="M58" s="270">
        <f>SUM(M56:M57)</f>
        <v>292421.5</v>
      </c>
      <c r="N58" s="271">
        <f>+N56+N57</f>
        <v>215745.94799999997</v>
      </c>
      <c r="O58" s="271">
        <f>+O56+O57</f>
        <v>487208.32799999998</v>
      </c>
      <c r="P58" s="230"/>
      <c r="Q58" s="199"/>
      <c r="R58" s="230"/>
    </row>
    <row r="59" spans="1:18" ht="14.25" customHeight="1" x14ac:dyDescent="0.25">
      <c r="A59" s="289"/>
      <c r="B59" s="289"/>
      <c r="C59" s="289"/>
      <c r="D59" s="289"/>
      <c r="E59" s="289"/>
      <c r="F59" s="289"/>
      <c r="G59" s="289"/>
      <c r="H59" s="237"/>
      <c r="I59" s="237"/>
      <c r="J59" s="238"/>
      <c r="K59" s="238"/>
      <c r="L59" s="238"/>
      <c r="M59" s="293"/>
      <c r="N59" s="293"/>
      <c r="O59" s="293"/>
      <c r="P59" s="230"/>
    </row>
    <row r="60" spans="1:18" x14ac:dyDescent="0.25">
      <c r="A60" s="289"/>
      <c r="B60" s="289"/>
      <c r="C60" s="289"/>
      <c r="D60" s="289"/>
      <c r="E60" s="289"/>
      <c r="F60" s="289"/>
      <c r="G60" s="289"/>
      <c r="H60" s="294"/>
      <c r="I60" s="294"/>
      <c r="J60" s="293"/>
      <c r="K60" s="293"/>
      <c r="L60" s="293"/>
      <c r="M60" s="293"/>
      <c r="N60" s="293"/>
      <c r="O60" s="295"/>
      <c r="P60" s="199"/>
    </row>
    <row r="61" spans="1:18" ht="16.5" thickBot="1" x14ac:dyDescent="0.3">
      <c r="A61" s="741" t="s">
        <v>34</v>
      </c>
      <c r="B61" s="741"/>
      <c r="C61" s="741"/>
      <c r="D61" s="741"/>
      <c r="E61" s="741"/>
      <c r="F61" s="741"/>
      <c r="G61" s="741"/>
      <c r="H61" s="741"/>
      <c r="I61" s="741"/>
      <c r="J61" s="741"/>
      <c r="K61" s="741"/>
      <c r="L61" s="741"/>
      <c r="M61" s="741"/>
      <c r="N61" s="741"/>
      <c r="O61" s="741"/>
    </row>
    <row r="62" spans="1:18" ht="24.75" customHeight="1" thickBot="1" x14ac:dyDescent="0.3">
      <c r="A62" s="742" t="s">
        <v>6</v>
      </c>
      <c r="B62" s="744" t="s">
        <v>7</v>
      </c>
      <c r="C62" s="745"/>
      <c r="D62" s="733" t="s">
        <v>8</v>
      </c>
      <c r="E62" s="733" t="s">
        <v>9</v>
      </c>
      <c r="F62" s="733" t="s">
        <v>10</v>
      </c>
      <c r="G62" s="733" t="s">
        <v>35</v>
      </c>
      <c r="H62" s="744" t="s">
        <v>12</v>
      </c>
      <c r="I62" s="745"/>
      <c r="J62" s="733" t="s">
        <v>59</v>
      </c>
      <c r="K62" s="203"/>
      <c r="L62" s="203"/>
      <c r="M62" s="733" t="s">
        <v>13</v>
      </c>
      <c r="N62" s="733" t="s">
        <v>14</v>
      </c>
      <c r="O62" s="735" t="s">
        <v>36</v>
      </c>
    </row>
    <row r="63" spans="1:18" ht="16.5" thickBot="1" x14ac:dyDescent="0.3">
      <c r="A63" s="743"/>
      <c r="B63" s="746"/>
      <c r="C63" s="747"/>
      <c r="D63" s="734"/>
      <c r="E63" s="734"/>
      <c r="F63" s="734"/>
      <c r="G63" s="748"/>
      <c r="H63" s="733" t="s">
        <v>20</v>
      </c>
      <c r="I63" s="733" t="s">
        <v>17</v>
      </c>
      <c r="J63" s="749"/>
      <c r="K63" s="207"/>
      <c r="L63" s="207"/>
      <c r="M63" s="749"/>
      <c r="N63" s="734"/>
      <c r="O63" s="736"/>
    </row>
    <row r="64" spans="1:18" ht="51.75" customHeight="1" x14ac:dyDescent="0.25">
      <c r="A64" s="774"/>
      <c r="B64" s="203" t="s">
        <v>18</v>
      </c>
      <c r="C64" s="403" t="s">
        <v>19</v>
      </c>
      <c r="D64" s="734"/>
      <c r="E64" s="734"/>
      <c r="F64" s="734"/>
      <c r="G64" s="748"/>
      <c r="H64" s="734"/>
      <c r="I64" s="734"/>
      <c r="J64" s="749"/>
      <c r="K64" s="205" t="s">
        <v>21</v>
      </c>
      <c r="L64" s="205" t="s">
        <v>22</v>
      </c>
      <c r="M64" s="749"/>
      <c r="N64" s="734"/>
      <c r="O64" s="737"/>
    </row>
    <row r="65" spans="1:21" ht="94.5" x14ac:dyDescent="0.25">
      <c r="A65" s="477">
        <f>DICIEMBRE!A64</f>
        <v>1</v>
      </c>
      <c r="B65" s="221" t="s">
        <v>66</v>
      </c>
      <c r="C65" s="564" t="s">
        <v>259</v>
      </c>
      <c r="D65" s="221" t="s">
        <v>37</v>
      </c>
      <c r="E65" s="251" t="s">
        <v>153</v>
      </c>
      <c r="F65" s="220" t="s">
        <v>248</v>
      </c>
      <c r="G65" s="257">
        <f>DICIEMBRE!G64</f>
        <v>16</v>
      </c>
      <c r="H65" s="257">
        <f>DICIEMBRE!H64</f>
        <v>0</v>
      </c>
      <c r="I65" s="257">
        <f>DICIEMBRE!I64</f>
        <v>0</v>
      </c>
      <c r="J65" s="257">
        <v>0</v>
      </c>
      <c r="K65" s="257">
        <f>DICIEMBRE!K64</f>
        <v>5000</v>
      </c>
      <c r="L65" s="257">
        <f>DICIEMBRE!L64</f>
        <v>7875</v>
      </c>
      <c r="M65" s="257">
        <f>DICIEMBRE!M64</f>
        <v>0</v>
      </c>
      <c r="N65" s="257">
        <f>DICIEMBRE!N64</f>
        <v>25200</v>
      </c>
      <c r="O65" s="553">
        <f>SUM(M65:N65)</f>
        <v>25200</v>
      </c>
      <c r="P65" s="230"/>
    </row>
    <row r="66" spans="1:21" ht="112.5" customHeight="1" x14ac:dyDescent="0.25">
      <c r="A66" s="554">
        <f>OCTUBRE!A68</f>
        <v>1</v>
      </c>
      <c r="B66" s="221" t="s">
        <v>30</v>
      </c>
      <c r="C66" s="192" t="s">
        <v>260</v>
      </c>
      <c r="D66" s="221" t="s">
        <v>37</v>
      </c>
      <c r="E66" s="251" t="s">
        <v>153</v>
      </c>
      <c r="F66" s="220" t="s">
        <v>160</v>
      </c>
      <c r="G66" s="257">
        <f>OCTUBRE!G68</f>
        <v>24</v>
      </c>
      <c r="H66" s="257">
        <f>OCTUBRE!H68</f>
        <v>7</v>
      </c>
      <c r="I66" s="257">
        <f>OCTUBRE!I68</f>
        <v>0</v>
      </c>
      <c r="J66" s="257">
        <f>OCTUBRE!J68</f>
        <v>300000</v>
      </c>
      <c r="K66" s="257">
        <f>OCTUBRE!K68</f>
        <v>4200</v>
      </c>
      <c r="L66" s="257">
        <f>OCTUBRE!L68</f>
        <v>18491.59</v>
      </c>
      <c r="M66" s="257">
        <f>OCTUBRE!M68</f>
        <v>0</v>
      </c>
      <c r="N66" s="257">
        <f>OCTUBRE!N68</f>
        <v>23800</v>
      </c>
      <c r="O66" s="553">
        <f>SUM(M66:N66)</f>
        <v>23800</v>
      </c>
      <c r="P66" s="230"/>
      <c r="Q66" s="217"/>
    </row>
    <row r="67" spans="1:21" ht="131.25" customHeight="1" thickBot="1" x14ac:dyDescent="0.3">
      <c r="A67" s="296">
        <f>NOVIEMBRE!A63</f>
        <v>1</v>
      </c>
      <c r="B67" s="221" t="s">
        <v>74</v>
      </c>
      <c r="C67" s="565" t="s">
        <v>214</v>
      </c>
      <c r="D67" s="221" t="s">
        <v>37</v>
      </c>
      <c r="E67" s="251" t="s">
        <v>153</v>
      </c>
      <c r="F67" s="221" t="s">
        <v>244</v>
      </c>
      <c r="G67" s="257">
        <f>NOVIEMBRE!G63</f>
        <v>24</v>
      </c>
      <c r="H67" s="257">
        <f>NOVIEMBRE!H63</f>
        <v>0</v>
      </c>
      <c r="I67" s="257">
        <f>NOVIEMBRE!I63</f>
        <v>13</v>
      </c>
      <c r="J67" s="257">
        <f>NOVIEMBRE!J63</f>
        <v>250000</v>
      </c>
      <c r="K67" s="257">
        <f>NOVIEMBRE!K63</f>
        <v>5500</v>
      </c>
      <c r="L67" s="257">
        <f>NOVIEMBRE!L63</f>
        <v>20361.04</v>
      </c>
      <c r="M67" s="257">
        <f>NOVIEMBRE!M63</f>
        <v>63902.14</v>
      </c>
      <c r="N67" s="257">
        <f>NOVIEMBRE!N63</f>
        <v>39600</v>
      </c>
      <c r="O67" s="553">
        <f t="shared" ref="O67:O68" si="6">SUM(M67:N67)</f>
        <v>103502.14</v>
      </c>
      <c r="P67" s="230"/>
    </row>
    <row r="68" spans="1:21" ht="23.25" hidden="1" customHeight="1" thickBot="1" x14ac:dyDescent="0.3">
      <c r="A68" s="299"/>
      <c r="B68" s="213" t="s">
        <v>30</v>
      </c>
      <c r="C68" s="213" t="s">
        <v>138</v>
      </c>
      <c r="D68" s="213" t="s">
        <v>37</v>
      </c>
      <c r="E68" s="555" t="s">
        <v>118</v>
      </c>
      <c r="F68" s="556" t="s">
        <v>39</v>
      </c>
      <c r="G68" s="557"/>
      <c r="H68" s="558"/>
      <c r="I68" s="558"/>
      <c r="J68" s="559"/>
      <c r="K68" s="559"/>
      <c r="L68" s="560"/>
      <c r="M68" s="561"/>
      <c r="N68" s="559"/>
      <c r="O68" s="562">
        <f t="shared" si="6"/>
        <v>0</v>
      </c>
      <c r="P68" s="230"/>
    </row>
    <row r="69" spans="1:21" ht="18.75" customHeight="1" thickBot="1" x14ac:dyDescent="0.3">
      <c r="A69" s="228">
        <f>SUM(A65:A68)</f>
        <v>3</v>
      </c>
      <c r="B69" s="772" t="s">
        <v>24</v>
      </c>
      <c r="C69" s="772"/>
      <c r="D69" s="772"/>
      <c r="E69" s="772"/>
      <c r="F69" s="772"/>
      <c r="G69" s="489">
        <f t="shared" ref="G69:J69" si="7">SUM(G65:G68)</f>
        <v>64</v>
      </c>
      <c r="H69" s="489">
        <f t="shared" si="7"/>
        <v>7</v>
      </c>
      <c r="I69" s="489">
        <f t="shared" si="7"/>
        <v>13</v>
      </c>
      <c r="J69" s="489">
        <f t="shared" si="7"/>
        <v>550000</v>
      </c>
      <c r="K69" s="489">
        <f>SUM(K65:K68)</f>
        <v>14700</v>
      </c>
      <c r="L69" s="489">
        <f t="shared" ref="L69:N69" si="8">SUM(L65:L68)</f>
        <v>46727.630000000005</v>
      </c>
      <c r="M69" s="489">
        <f t="shared" si="8"/>
        <v>63902.14</v>
      </c>
      <c r="N69" s="489">
        <f t="shared" si="8"/>
        <v>88600</v>
      </c>
      <c r="O69" s="489">
        <f>SUM(O65:O68)</f>
        <v>152502.14000000001</v>
      </c>
      <c r="P69" s="230"/>
      <c r="Q69" s="217"/>
      <c r="R69" s="230"/>
    </row>
    <row r="70" spans="1:21" ht="15" customHeight="1" thickBot="1" x14ac:dyDescent="0.3">
      <c r="A70" s="739" t="s">
        <v>25</v>
      </c>
      <c r="B70" s="740"/>
      <c r="C70" s="740"/>
      <c r="D70" s="740"/>
      <c r="E70" s="740"/>
      <c r="F70" s="740"/>
      <c r="G70" s="740"/>
      <c r="H70" s="308"/>
      <c r="I70" s="308"/>
      <c r="J70" s="309"/>
      <c r="K70" s="309"/>
      <c r="L70" s="309"/>
      <c r="M70" s="310">
        <v>0</v>
      </c>
      <c r="N70" s="310">
        <f>N69*-0.1</f>
        <v>-8860</v>
      </c>
      <c r="O70" s="563">
        <f>N70</f>
        <v>-8860</v>
      </c>
      <c r="Q70" s="217"/>
    </row>
    <row r="71" spans="1:21" ht="17.25" customHeight="1" thickBot="1" x14ac:dyDescent="0.3">
      <c r="A71" s="738" t="s">
        <v>26</v>
      </c>
      <c r="B71" s="738"/>
      <c r="C71" s="738"/>
      <c r="D71" s="738"/>
      <c r="E71" s="738"/>
      <c r="F71" s="738"/>
      <c r="G71" s="738"/>
      <c r="H71" s="311"/>
      <c r="I71" s="311"/>
      <c r="J71" s="312"/>
      <c r="K71" s="312"/>
      <c r="L71" s="312"/>
      <c r="M71" s="310">
        <f>SUM(M69:M70)</f>
        <v>63902.14</v>
      </c>
      <c r="N71" s="310">
        <f>N69 +(N70)</f>
        <v>79740</v>
      </c>
      <c r="O71" s="310">
        <f>O70+O69</f>
        <v>143642.14000000001</v>
      </c>
      <c r="P71" s="217"/>
      <c r="Q71" s="217"/>
    </row>
    <row r="72" spans="1:21" ht="17.25" customHeight="1" x14ac:dyDescent="0.25">
      <c r="A72" s="313"/>
      <c r="B72" s="313"/>
      <c r="C72" s="313"/>
      <c r="D72" s="313"/>
      <c r="E72" s="313"/>
      <c r="F72" s="313"/>
      <c r="G72" s="313"/>
      <c r="H72" s="314"/>
      <c r="I72" s="314"/>
      <c r="J72" s="315"/>
      <c r="K72" s="315"/>
      <c r="L72" s="315"/>
      <c r="M72" s="316"/>
      <c r="N72" s="316"/>
      <c r="O72" s="316"/>
      <c r="P72" s="625"/>
      <c r="Q72" s="317"/>
      <c r="R72" s="317"/>
      <c r="S72" s="317"/>
      <c r="T72" s="317"/>
      <c r="U72" s="317"/>
    </row>
    <row r="73" spans="1:21" ht="17.25" customHeight="1" thickBot="1" x14ac:dyDescent="0.3">
      <c r="A73" s="313"/>
      <c r="B73" s="832" t="s">
        <v>77</v>
      </c>
      <c r="C73" s="832"/>
      <c r="D73" s="832"/>
      <c r="E73" s="832"/>
      <c r="F73" s="832"/>
      <c r="G73" s="832"/>
      <c r="H73" s="314"/>
      <c r="I73" s="863"/>
      <c r="J73" s="864"/>
      <c r="K73" s="864"/>
      <c r="L73" s="864"/>
      <c r="M73" s="864"/>
      <c r="N73" s="864"/>
      <c r="O73" s="316"/>
      <c r="P73" s="320"/>
      <c r="Q73" s="320"/>
      <c r="R73" s="320"/>
      <c r="S73" s="320"/>
      <c r="T73" s="320"/>
      <c r="U73" s="320"/>
    </row>
    <row r="74" spans="1:21" ht="17.25" customHeight="1" thickBot="1" x14ac:dyDescent="0.3">
      <c r="A74" s="294"/>
      <c r="B74" s="865"/>
      <c r="C74" s="865"/>
      <c r="D74" s="865"/>
      <c r="E74" s="865"/>
      <c r="F74" s="865"/>
      <c r="G74" s="865"/>
      <c r="H74" s="314"/>
      <c r="I74" s="768" t="s">
        <v>75</v>
      </c>
      <c r="J74" s="769"/>
      <c r="K74" s="769"/>
      <c r="L74" s="769"/>
      <c r="M74" s="769"/>
      <c r="N74" s="770"/>
      <c r="O74" s="316"/>
      <c r="P74" s="790" t="s">
        <v>151</v>
      </c>
      <c r="Q74" s="791"/>
      <c r="R74" s="791"/>
      <c r="S74" s="791"/>
      <c r="T74" s="791"/>
      <c r="U74" s="792"/>
    </row>
    <row r="75" spans="1:21" ht="48" thickBot="1" x14ac:dyDescent="0.3">
      <c r="A75" s="742" t="s">
        <v>40</v>
      </c>
      <c r="B75" s="742"/>
      <c r="C75" s="742"/>
      <c r="D75" s="742" t="s">
        <v>150</v>
      </c>
      <c r="E75" s="742"/>
      <c r="F75" s="742" t="s">
        <v>154</v>
      </c>
      <c r="G75" s="742"/>
      <c r="H75" s="314"/>
      <c r="I75" s="321" t="s">
        <v>41</v>
      </c>
      <c r="J75" s="66" t="s">
        <v>42</v>
      </c>
      <c r="K75" s="67" t="s">
        <v>43</v>
      </c>
      <c r="L75" s="67" t="s">
        <v>44</v>
      </c>
      <c r="M75" s="68" t="s">
        <v>45</v>
      </c>
      <c r="N75" s="322" t="s">
        <v>31</v>
      </c>
      <c r="O75" s="316"/>
      <c r="P75" s="321" t="s">
        <v>41</v>
      </c>
      <c r="Q75" s="66" t="s">
        <v>42</v>
      </c>
      <c r="R75" s="67" t="s">
        <v>43</v>
      </c>
      <c r="S75" s="67" t="s">
        <v>44</v>
      </c>
      <c r="T75" s="68" t="s">
        <v>45</v>
      </c>
      <c r="U75" s="322" t="s">
        <v>31</v>
      </c>
    </row>
    <row r="76" spans="1:21" ht="27.75" customHeight="1" thickBot="1" x14ac:dyDescent="0.3">
      <c r="A76" s="760" t="s">
        <v>46</v>
      </c>
      <c r="B76" s="760"/>
      <c r="C76" s="760"/>
      <c r="D76" s="855">
        <v>1913081.534</v>
      </c>
      <c r="E76" s="856"/>
      <c r="F76" s="793">
        <f>F84</f>
        <v>1384206.858</v>
      </c>
      <c r="G76" s="793"/>
      <c r="H76" s="314"/>
      <c r="I76" s="323" t="s">
        <v>22</v>
      </c>
      <c r="J76" s="324">
        <f>L26</f>
        <v>102743.92</v>
      </c>
      <c r="K76" s="324">
        <f>L56</f>
        <v>49600</v>
      </c>
      <c r="L76" s="324">
        <f>L45</f>
        <v>215547.19</v>
      </c>
      <c r="M76" s="325">
        <f>L69</f>
        <v>46727.630000000005</v>
      </c>
      <c r="N76" s="326">
        <f>SUM(J76:M76)</f>
        <v>414618.74</v>
      </c>
      <c r="O76" s="327"/>
      <c r="P76" s="626" t="s">
        <v>22</v>
      </c>
      <c r="Q76" s="324">
        <v>162500</v>
      </c>
      <c r="R76" s="324">
        <v>69000</v>
      </c>
      <c r="S76" s="324">
        <v>192500</v>
      </c>
      <c r="T76" s="324">
        <v>60190.310000000005</v>
      </c>
      <c r="U76" s="326">
        <v>484190.31</v>
      </c>
    </row>
    <row r="77" spans="1:21" ht="20.100000000000001" customHeight="1" thickBot="1" x14ac:dyDescent="0.3">
      <c r="A77" s="760" t="s">
        <v>47</v>
      </c>
      <c r="B77" s="760"/>
      <c r="C77" s="760"/>
      <c r="D77" s="855">
        <v>16</v>
      </c>
      <c r="E77" s="856"/>
      <c r="F77" s="765">
        <f>OCTUBRE!F78+NOVIEMBRE!F75+DICIEMBRE!F77</f>
        <v>4</v>
      </c>
      <c r="G77" s="766"/>
      <c r="H77" s="328"/>
      <c r="I77" s="329" t="s">
        <v>48</v>
      </c>
      <c r="J77" s="330">
        <f>K26</f>
        <v>37000</v>
      </c>
      <c r="K77" s="324">
        <f>K56</f>
        <v>48050</v>
      </c>
      <c r="L77" s="324">
        <f>K45</f>
        <v>50700</v>
      </c>
      <c r="M77" s="331">
        <f>K69</f>
        <v>14700</v>
      </c>
      <c r="N77" s="332">
        <f>SUM(J77:M77)</f>
        <v>150450</v>
      </c>
      <c r="O77" s="327"/>
      <c r="P77" s="627" t="s">
        <v>48</v>
      </c>
      <c r="Q77" s="628">
        <v>71500</v>
      </c>
      <c r="R77" s="628">
        <v>48000</v>
      </c>
      <c r="S77" s="628">
        <v>67000</v>
      </c>
      <c r="T77" s="628">
        <v>18100</v>
      </c>
      <c r="U77" s="332">
        <v>204600</v>
      </c>
    </row>
    <row r="78" spans="1:21" ht="31.5" customHeight="1" thickBot="1" x14ac:dyDescent="0.3">
      <c r="A78" s="796" t="s">
        <v>49</v>
      </c>
      <c r="B78" s="797"/>
      <c r="C78" s="798"/>
      <c r="D78" s="855">
        <v>41</v>
      </c>
      <c r="E78" s="856"/>
      <c r="F78" s="765">
        <f>OCTUBRE!F79+NOVIEMBRE!F76+DICIEMBRE!F78</f>
        <v>33</v>
      </c>
      <c r="G78" s="766"/>
      <c r="H78" s="328"/>
      <c r="I78" s="333" t="s">
        <v>50</v>
      </c>
      <c r="J78" s="330">
        <f>O28</f>
        <v>539605.11800000002</v>
      </c>
      <c r="K78" s="324">
        <f>O58</f>
        <v>487208.32799999998</v>
      </c>
      <c r="L78" s="324">
        <f>O47</f>
        <v>213751.27200000003</v>
      </c>
      <c r="M78" s="335">
        <f>O71</f>
        <v>143642.14000000001</v>
      </c>
      <c r="N78" s="336">
        <f>SUM(J78:M78)</f>
        <v>1384206.858</v>
      </c>
      <c r="O78" s="327"/>
      <c r="P78" s="629" t="s">
        <v>50</v>
      </c>
      <c r="Q78" s="630">
        <v>1036234</v>
      </c>
      <c r="R78" s="630">
        <v>563303</v>
      </c>
      <c r="S78" s="630">
        <v>82082.7</v>
      </c>
      <c r="T78" s="631">
        <v>196137.834</v>
      </c>
      <c r="U78" s="336">
        <v>1877757.534</v>
      </c>
    </row>
    <row r="79" spans="1:21" ht="20.100000000000001" customHeight="1" thickBot="1" x14ac:dyDescent="0.3">
      <c r="A79" s="760" t="s">
        <v>51</v>
      </c>
      <c r="B79" s="760"/>
      <c r="C79" s="760"/>
      <c r="D79" s="855">
        <v>219</v>
      </c>
      <c r="E79" s="856"/>
      <c r="F79" s="765">
        <f>OCTUBRE!F80+NOVIEMBRE!F77+DICIEMBRE!F79</f>
        <v>98</v>
      </c>
      <c r="G79" s="766"/>
      <c r="H79" s="632"/>
      <c r="I79" s="339" t="s">
        <v>31</v>
      </c>
      <c r="J79" s="340">
        <f>SUM(J76:J78)</f>
        <v>679349.03799999994</v>
      </c>
      <c r="K79" s="340">
        <f t="shared" ref="K79:M79" si="9">SUM(K76:K78)</f>
        <v>584858.32799999998</v>
      </c>
      <c r="L79" s="340">
        <f t="shared" si="9"/>
        <v>479998.46200000006</v>
      </c>
      <c r="M79" s="341">
        <f t="shared" si="9"/>
        <v>205069.77000000002</v>
      </c>
      <c r="N79" s="342">
        <f>SUM(J79:M79)</f>
        <v>1949275.598</v>
      </c>
      <c r="O79" s="633"/>
      <c r="P79" s="339" t="s">
        <v>31</v>
      </c>
      <c r="Q79" s="340">
        <v>1270234</v>
      </c>
      <c r="R79" s="340">
        <v>680303</v>
      </c>
      <c r="S79" s="340">
        <v>341582.7</v>
      </c>
      <c r="T79" s="341">
        <v>274428.14399999997</v>
      </c>
      <c r="U79" s="342">
        <v>2566547.844</v>
      </c>
    </row>
    <row r="80" spans="1:21" ht="20.100000000000001" customHeight="1" thickBot="1" x14ac:dyDescent="0.3">
      <c r="A80" s="760" t="s">
        <v>52</v>
      </c>
      <c r="B80" s="760"/>
      <c r="C80" s="760"/>
      <c r="D80" s="855">
        <v>600</v>
      </c>
      <c r="E80" s="856"/>
      <c r="F80" s="765">
        <f>OCTUBRE!F81+NOVIEMBRE!F78+DICIEMBRE!F80</f>
        <v>528</v>
      </c>
      <c r="G80" s="766"/>
      <c r="H80" s="632"/>
      <c r="I80" s="768" t="s">
        <v>76</v>
      </c>
      <c r="J80" s="769"/>
      <c r="K80" s="769"/>
      <c r="L80" s="769"/>
      <c r="M80" s="769"/>
      <c r="N80" s="770"/>
      <c r="O80" s="633"/>
      <c r="P80" s="853" t="s">
        <v>152</v>
      </c>
      <c r="Q80" s="854"/>
      <c r="R80" s="854"/>
      <c r="S80" s="854"/>
      <c r="T80" s="854"/>
      <c r="U80" s="854"/>
    </row>
    <row r="81" spans="1:23" ht="32.25" customHeight="1" thickBot="1" x14ac:dyDescent="0.3">
      <c r="A81" s="764" t="s">
        <v>53</v>
      </c>
      <c r="B81" s="764"/>
      <c r="C81" s="764"/>
      <c r="D81" s="855">
        <v>1323881</v>
      </c>
      <c r="E81" s="856"/>
      <c r="F81" s="765">
        <f>OCTUBRE!F82+NOVIEMBRE!F79+DICIEMBRE!F81</f>
        <v>902148.57000000007</v>
      </c>
      <c r="G81" s="766"/>
      <c r="H81" s="328"/>
      <c r="I81" s="321" t="s">
        <v>41</v>
      </c>
      <c r="J81" s="66" t="s">
        <v>42</v>
      </c>
      <c r="K81" s="67" t="s">
        <v>43</v>
      </c>
      <c r="L81" s="162" t="s">
        <v>44</v>
      </c>
      <c r="M81" s="114" t="s">
        <v>45</v>
      </c>
      <c r="N81" s="322" t="s">
        <v>31</v>
      </c>
      <c r="O81" s="633"/>
      <c r="P81" s="321" t="s">
        <v>41</v>
      </c>
      <c r="Q81" s="66" t="s">
        <v>42</v>
      </c>
      <c r="R81" s="67" t="s">
        <v>43</v>
      </c>
      <c r="S81" s="67" t="s">
        <v>44</v>
      </c>
      <c r="T81" s="68" t="s">
        <v>45</v>
      </c>
      <c r="U81" s="322" t="s">
        <v>31</v>
      </c>
    </row>
    <row r="82" spans="1:23" ht="20.100000000000001" customHeight="1" thickBot="1" x14ac:dyDescent="0.3">
      <c r="A82" s="764" t="s">
        <v>54</v>
      </c>
      <c r="B82" s="764"/>
      <c r="C82" s="764"/>
      <c r="D82" s="855">
        <v>654667.26</v>
      </c>
      <c r="E82" s="856"/>
      <c r="F82" s="765">
        <f>OCTUBRE!F83+NOVIEMBRE!F80+DICIEMBRE!F82</f>
        <v>535620.32000000007</v>
      </c>
      <c r="G82" s="766"/>
      <c r="H82" s="328"/>
      <c r="I82" s="323" t="s">
        <v>22</v>
      </c>
      <c r="J82" s="343">
        <f>J76/Q76</f>
        <v>0.63227027692307691</v>
      </c>
      <c r="K82" s="343">
        <f>K76/R76</f>
        <v>0.71884057971014492</v>
      </c>
      <c r="L82" s="343">
        <f>L76/S76</f>
        <v>1.1197256623376624</v>
      </c>
      <c r="M82" s="344">
        <f>M76/T76</f>
        <v>0.77633143939614202</v>
      </c>
      <c r="N82" s="345">
        <f>N76/U76</f>
        <v>0.85631358463162965</v>
      </c>
      <c r="O82" s="633"/>
      <c r="P82" s="346" t="s">
        <v>47</v>
      </c>
      <c r="Q82" s="347">
        <v>13</v>
      </c>
      <c r="R82" s="347">
        <v>2</v>
      </c>
      <c r="S82" s="347">
        <v>0</v>
      </c>
      <c r="T82" s="634">
        <v>1</v>
      </c>
      <c r="U82" s="350">
        <v>16</v>
      </c>
    </row>
    <row r="83" spans="1:23" ht="20.100000000000001" customHeight="1" thickBot="1" x14ac:dyDescent="0.3">
      <c r="A83" s="764" t="s">
        <v>55</v>
      </c>
      <c r="B83" s="764"/>
      <c r="C83" s="764"/>
      <c r="D83" s="855">
        <v>-65466.726000000002</v>
      </c>
      <c r="E83" s="856"/>
      <c r="F83" s="765">
        <f>OCTUBRE!F84+NOVIEMBRE!F81+DICIEMBRE!F83</f>
        <v>-53562.032000000007</v>
      </c>
      <c r="G83" s="766"/>
      <c r="H83" s="328"/>
      <c r="I83" s="329" t="s">
        <v>48</v>
      </c>
      <c r="J83" s="343">
        <f t="shared" ref="J83:M85" si="10">J77/Q77</f>
        <v>0.5174825174825175</v>
      </c>
      <c r="K83" s="343">
        <f t="shared" si="10"/>
        <v>1.0010416666666666</v>
      </c>
      <c r="L83" s="343">
        <f t="shared" si="10"/>
        <v>0.75671641791044775</v>
      </c>
      <c r="M83" s="344">
        <f t="shared" si="10"/>
        <v>0.81215469613259672</v>
      </c>
      <c r="N83" s="345">
        <f t="shared" ref="N83:N84" si="11">N77/U77</f>
        <v>0.73533724340175954</v>
      </c>
      <c r="O83" s="633"/>
      <c r="P83" s="351" t="s">
        <v>78</v>
      </c>
      <c r="Q83" s="352">
        <v>13</v>
      </c>
      <c r="R83" s="347">
        <v>11</v>
      </c>
      <c r="S83" s="352">
        <v>13</v>
      </c>
      <c r="T83" s="635">
        <v>4</v>
      </c>
      <c r="U83" s="350">
        <v>41</v>
      </c>
    </row>
    <row r="84" spans="1:23" ht="20.100000000000001" customHeight="1" thickBot="1" x14ac:dyDescent="0.3">
      <c r="A84" s="750" t="s">
        <v>56</v>
      </c>
      <c r="B84" s="750"/>
      <c r="C84" s="750"/>
      <c r="D84" s="866">
        <f>SUM(D81:E83)</f>
        <v>1913081.534</v>
      </c>
      <c r="E84" s="866"/>
      <c r="F84" s="866">
        <f>SUM(F81:G83)</f>
        <v>1384206.858</v>
      </c>
      <c r="G84" s="866"/>
      <c r="H84" s="355"/>
      <c r="I84" s="333" t="s">
        <v>50</v>
      </c>
      <c r="J84" s="343">
        <f t="shared" si="10"/>
        <v>0.52073674285923832</v>
      </c>
      <c r="K84" s="343">
        <f t="shared" si="10"/>
        <v>0.86491342669930749</v>
      </c>
      <c r="L84" s="343">
        <f t="shared" si="10"/>
        <v>2.6040965026735234</v>
      </c>
      <c r="M84" s="344">
        <f t="shared" si="10"/>
        <v>0.73235304515497002</v>
      </c>
      <c r="N84" s="345">
        <f t="shared" si="11"/>
        <v>0.73715952828657383</v>
      </c>
      <c r="O84" s="633"/>
      <c r="P84" s="333" t="s">
        <v>79</v>
      </c>
      <c r="Q84" s="352">
        <v>120</v>
      </c>
      <c r="R84" s="347">
        <v>55</v>
      </c>
      <c r="S84" s="352">
        <v>0</v>
      </c>
      <c r="T84" s="635">
        <v>64</v>
      </c>
      <c r="U84" s="350">
        <v>239</v>
      </c>
    </row>
    <row r="85" spans="1:23" ht="20.100000000000001" customHeight="1" thickBot="1" x14ac:dyDescent="0.3">
      <c r="A85" s="356"/>
      <c r="B85" s="356"/>
      <c r="C85" s="356"/>
      <c r="D85" s="356"/>
      <c r="E85" s="356"/>
      <c r="F85" s="523"/>
      <c r="G85" s="355"/>
      <c r="H85" s="355"/>
      <c r="I85" s="339" t="s">
        <v>31</v>
      </c>
      <c r="J85" s="357">
        <f t="shared" si="10"/>
        <v>0.53482196036320861</v>
      </c>
      <c r="K85" s="357">
        <f t="shared" si="10"/>
        <v>0.85970270306025398</v>
      </c>
      <c r="L85" s="357">
        <f t="shared" si="10"/>
        <v>1.4052188884273122</v>
      </c>
      <c r="M85" s="358">
        <f t="shared" si="10"/>
        <v>0.74726216856241989</v>
      </c>
      <c r="N85" s="510">
        <f>N79/U79</f>
        <v>0.75949318558660772</v>
      </c>
      <c r="O85" s="356"/>
      <c r="P85" s="333" t="s">
        <v>80</v>
      </c>
      <c r="Q85" s="352">
        <v>136</v>
      </c>
      <c r="R85" s="347">
        <v>128</v>
      </c>
      <c r="S85" s="352">
        <v>256</v>
      </c>
      <c r="T85" s="635">
        <v>104</v>
      </c>
      <c r="U85" s="350">
        <v>624</v>
      </c>
    </row>
    <row r="86" spans="1:23" ht="16.5" thickBot="1" x14ac:dyDescent="0.3">
      <c r="A86" s="356"/>
      <c r="B86" s="799"/>
      <c r="C86" s="799"/>
      <c r="D86" s="799"/>
      <c r="E86" s="360"/>
      <c r="F86" s="360"/>
      <c r="G86" s="360"/>
      <c r="I86" s="356"/>
      <c r="J86" s="356"/>
      <c r="K86" s="356"/>
      <c r="L86" s="356"/>
      <c r="M86" s="356"/>
      <c r="N86" s="356"/>
      <c r="O86" s="356"/>
      <c r="P86" s="333" t="s">
        <v>81</v>
      </c>
      <c r="Q86" s="362">
        <v>869194</v>
      </c>
      <c r="R86" s="636">
        <v>329123</v>
      </c>
      <c r="S86" s="362">
        <v>0</v>
      </c>
      <c r="T86" s="637">
        <v>60000</v>
      </c>
      <c r="U86" s="638">
        <v>1258317</v>
      </c>
      <c r="W86" s="284"/>
    </row>
    <row r="87" spans="1:23" ht="16.5" thickBot="1" x14ac:dyDescent="0.3">
      <c r="A87" s="356"/>
      <c r="B87" s="230"/>
      <c r="E87" s="359"/>
      <c r="G87" s="365"/>
      <c r="I87" s="800" t="s">
        <v>84</v>
      </c>
      <c r="J87" s="801"/>
      <c r="K87" s="801"/>
      <c r="L87" s="801"/>
      <c r="M87" s="801"/>
      <c r="N87" s="802"/>
      <c r="O87" s="356"/>
      <c r="P87" s="333" t="s">
        <v>83</v>
      </c>
      <c r="Q87" s="364">
        <v>167040</v>
      </c>
      <c r="R87" s="364">
        <v>234180</v>
      </c>
      <c r="S87" s="364">
        <v>82082.7</v>
      </c>
      <c r="T87" s="639">
        <v>136137.834</v>
      </c>
      <c r="U87" s="638">
        <v>619440.53399999999</v>
      </c>
      <c r="W87" s="640"/>
    </row>
    <row r="88" spans="1:23" ht="32.25" thickBot="1" x14ac:dyDescent="0.3">
      <c r="A88" s="356"/>
      <c r="B88" s="230"/>
      <c r="E88" s="359"/>
      <c r="F88" s="217"/>
      <c r="G88" s="363"/>
      <c r="I88" s="321" t="s">
        <v>41</v>
      </c>
      <c r="J88" s="66" t="s">
        <v>42</v>
      </c>
      <c r="K88" s="67" t="s">
        <v>43</v>
      </c>
      <c r="L88" s="67" t="s">
        <v>103</v>
      </c>
      <c r="M88" s="68" t="s">
        <v>45</v>
      </c>
      <c r="N88" s="322" t="s">
        <v>31</v>
      </c>
      <c r="O88" s="356"/>
      <c r="P88" s="339" t="s">
        <v>31</v>
      </c>
      <c r="Q88" s="366">
        <v>1036234</v>
      </c>
      <c r="R88" s="340">
        <v>563303</v>
      </c>
      <c r="S88" s="340">
        <v>82082.7</v>
      </c>
      <c r="T88" s="340">
        <v>196137.834</v>
      </c>
      <c r="U88" s="340">
        <v>1877757.534</v>
      </c>
      <c r="W88" s="230"/>
    </row>
    <row r="89" spans="1:23" x14ac:dyDescent="0.25">
      <c r="A89" s="356"/>
      <c r="B89" s="806"/>
      <c r="C89" s="806"/>
      <c r="D89" s="806"/>
      <c r="E89" s="807"/>
      <c r="F89" s="807"/>
      <c r="G89" s="807"/>
      <c r="H89" s="320"/>
      <c r="I89" s="346" t="s">
        <v>47</v>
      </c>
      <c r="J89" s="367">
        <f>1/Q82</f>
        <v>7.6923076923076927E-2</v>
      </c>
      <c r="K89" s="367">
        <f>1/R82</f>
        <v>0.5</v>
      </c>
      <c r="L89" s="367" t="e">
        <f>0/S82</f>
        <v>#DIV/0!</v>
      </c>
      <c r="M89" s="344">
        <f>2/T82</f>
        <v>2</v>
      </c>
      <c r="N89" s="345">
        <f>F77/D77</f>
        <v>0.25</v>
      </c>
      <c r="O89" s="356"/>
    </row>
    <row r="90" spans="1:23" x14ac:dyDescent="0.25">
      <c r="A90" s="356"/>
      <c r="B90" s="808"/>
      <c r="C90" s="808"/>
      <c r="D90" s="808"/>
      <c r="E90" s="809"/>
      <c r="F90" s="809"/>
      <c r="G90" s="809"/>
      <c r="I90" s="351" t="s">
        <v>78</v>
      </c>
      <c r="J90" s="369">
        <f>A26/Q83</f>
        <v>0.61538461538461542</v>
      </c>
      <c r="K90" s="367">
        <f>A56/R83</f>
        <v>1</v>
      </c>
      <c r="L90" s="370">
        <f>A45/S83</f>
        <v>0.84615384615384615</v>
      </c>
      <c r="M90" s="371">
        <f>A69/T83</f>
        <v>0.75</v>
      </c>
      <c r="N90" s="641">
        <f>F78/D78</f>
        <v>0.80487804878048785</v>
      </c>
      <c r="O90" s="356"/>
      <c r="Q90" s="217"/>
      <c r="U90" s="217"/>
    </row>
    <row r="91" spans="1:23" x14ac:dyDescent="0.25">
      <c r="A91" s="356"/>
      <c r="B91" s="356"/>
      <c r="C91" s="356"/>
      <c r="D91" s="356"/>
      <c r="E91" s="356"/>
      <c r="F91" s="356"/>
      <c r="G91" s="356"/>
      <c r="H91" s="356"/>
      <c r="I91" s="333" t="s">
        <v>79</v>
      </c>
      <c r="J91" s="369">
        <f>(H26+I26)/Q84</f>
        <v>0.35833333333333334</v>
      </c>
      <c r="K91" s="347">
        <f>(H56+I56)/R84</f>
        <v>0.63636363636363635</v>
      </c>
      <c r="L91" s="369" t="e">
        <f>(H45+I45)/S84</f>
        <v>#DIV/0!</v>
      </c>
      <c r="M91" s="371">
        <f>(H69+I69)/T84</f>
        <v>0.3125</v>
      </c>
      <c r="N91" s="642">
        <f>F79/D79</f>
        <v>0.44748858447488582</v>
      </c>
      <c r="O91" s="356"/>
      <c r="R91" s="789"/>
      <c r="S91" s="789"/>
    </row>
    <row r="92" spans="1:23" x14ac:dyDescent="0.25">
      <c r="A92" s="356"/>
      <c r="B92" s="359" t="s">
        <v>97</v>
      </c>
      <c r="C92" s="359"/>
      <c r="D92" s="359"/>
      <c r="E92" s="361" t="s">
        <v>98</v>
      </c>
      <c r="F92" s="356"/>
      <c r="G92" s="356"/>
      <c r="H92" s="356"/>
      <c r="I92" s="333" t="s">
        <v>80</v>
      </c>
      <c r="J92" s="369">
        <f>G26/Q85</f>
        <v>0.88235294117647056</v>
      </c>
      <c r="K92" s="367">
        <f>G56/R85</f>
        <v>1.25</v>
      </c>
      <c r="L92" s="369">
        <f>G45/S85</f>
        <v>0.71875</v>
      </c>
      <c r="M92" s="371">
        <f>G69/T85</f>
        <v>0.61538461538461542</v>
      </c>
      <c r="N92" s="643">
        <f t="shared" ref="N92" si="12">F80/D80</f>
        <v>0.88</v>
      </c>
      <c r="O92" s="356"/>
    </row>
    <row r="93" spans="1:23" x14ac:dyDescent="0.25">
      <c r="A93" s="356"/>
      <c r="E93" s="359"/>
      <c r="F93" s="361"/>
      <c r="G93" s="356"/>
      <c r="H93" s="356"/>
      <c r="I93" s="333" t="s">
        <v>81</v>
      </c>
      <c r="J93" s="369">
        <f>M26/Q86</f>
        <v>0.49730905873717496</v>
      </c>
      <c r="K93" s="347">
        <f>M56/R86</f>
        <v>0.88848697903215512</v>
      </c>
      <c r="L93" s="369" t="e">
        <f>M45/S86</f>
        <v>#DIV/0!</v>
      </c>
      <c r="M93" s="371">
        <f>M69/T86</f>
        <v>1.0650356666666667</v>
      </c>
      <c r="N93" s="644">
        <f>F81/D81</f>
        <v>0.68144234262747183</v>
      </c>
      <c r="O93" s="356"/>
    </row>
    <row r="94" spans="1:23" x14ac:dyDescent="0.25">
      <c r="A94" s="356"/>
      <c r="E94" s="359"/>
      <c r="G94" s="356"/>
      <c r="H94" s="356"/>
      <c r="I94" s="333" t="s">
        <v>82</v>
      </c>
      <c r="J94" s="375">
        <f>N28/Q87</f>
        <v>0.64264288793103441</v>
      </c>
      <c r="K94" s="375">
        <f>N58/R87</f>
        <v>0.92128255188316666</v>
      </c>
      <c r="L94" s="375">
        <f>N47/S87</f>
        <v>0.96518842581932607</v>
      </c>
      <c r="M94" s="377">
        <f>N71/T87</f>
        <v>0.58572990077100828</v>
      </c>
      <c r="N94" s="645">
        <f>F82/D82</f>
        <v>0.81815657010249765</v>
      </c>
      <c r="O94" s="356"/>
    </row>
    <row r="95" spans="1:23" ht="16.5" thickBot="1" x14ac:dyDescent="0.3">
      <c r="A95" s="356"/>
      <c r="E95" s="359"/>
      <c r="G95" s="356"/>
      <c r="H95" s="356"/>
      <c r="I95" s="339" t="s">
        <v>31</v>
      </c>
      <c r="J95" s="379">
        <f>J78/Q78</f>
        <v>0.52073674285923832</v>
      </c>
      <c r="K95" s="379">
        <f>K78/R78</f>
        <v>0.86491342669930749</v>
      </c>
      <c r="L95" s="379">
        <f>L78/S78</f>
        <v>2.6040965026735234</v>
      </c>
      <c r="M95" s="380">
        <f>M78/T78</f>
        <v>0.73235304515497002</v>
      </c>
      <c r="N95" s="646">
        <f>N78/U78</f>
        <v>0.73715952828657383</v>
      </c>
      <c r="O95" s="356"/>
      <c r="P95" s="217"/>
    </row>
    <row r="96" spans="1:23" ht="16.5" thickBot="1" x14ac:dyDescent="0.3">
      <c r="A96" s="356"/>
      <c r="E96" s="359"/>
      <c r="G96" s="356"/>
      <c r="H96" s="356"/>
      <c r="I96" s="356"/>
      <c r="J96" s="356"/>
      <c r="K96" s="356"/>
      <c r="L96" s="356"/>
      <c r="M96" s="356"/>
      <c r="N96" s="356"/>
      <c r="O96" s="356"/>
    </row>
    <row r="97" spans="1:15" ht="16.5" thickBot="1" x14ac:dyDescent="0.3">
      <c r="A97" s="356"/>
      <c r="B97" s="512" t="s">
        <v>99</v>
      </c>
      <c r="C97" s="512"/>
      <c r="D97" s="512"/>
      <c r="E97" s="317" t="s">
        <v>100</v>
      </c>
      <c r="G97" s="356"/>
      <c r="H97" s="356"/>
      <c r="I97" s="790" t="s">
        <v>151</v>
      </c>
      <c r="J97" s="791"/>
      <c r="K97" s="791"/>
      <c r="L97" s="791"/>
      <c r="M97" s="791"/>
      <c r="N97" s="792"/>
    </row>
    <row r="98" spans="1:15" ht="32.25" thickBot="1" x14ac:dyDescent="0.3">
      <c r="A98" s="356"/>
      <c r="B98" s="197" t="s">
        <v>101</v>
      </c>
      <c r="E98" s="361" t="s">
        <v>102</v>
      </c>
      <c r="F98" s="317"/>
      <c r="G98" s="356"/>
      <c r="H98" s="356"/>
      <c r="I98" s="321" t="s">
        <v>41</v>
      </c>
      <c r="J98" s="66" t="s">
        <v>42</v>
      </c>
      <c r="K98" s="67" t="s">
        <v>43</v>
      </c>
      <c r="L98" s="67" t="s">
        <v>44</v>
      </c>
      <c r="M98" s="68" t="s">
        <v>45</v>
      </c>
      <c r="N98" s="322" t="s">
        <v>31</v>
      </c>
    </row>
    <row r="99" spans="1:15" x14ac:dyDescent="0.25">
      <c r="A99" s="356"/>
      <c r="B99" s="356"/>
      <c r="C99" s="356"/>
      <c r="D99" s="356"/>
      <c r="E99" s="356"/>
      <c r="F99" s="361"/>
      <c r="G99" s="356"/>
      <c r="H99" s="356"/>
      <c r="I99" s="626" t="s">
        <v>22</v>
      </c>
      <c r="J99" s="324">
        <v>162500</v>
      </c>
      <c r="K99" s="324">
        <v>69000</v>
      </c>
      <c r="L99" s="324">
        <v>192500</v>
      </c>
      <c r="M99" s="324">
        <v>60190.310000000005</v>
      </c>
      <c r="N99" s="326">
        <v>484190.31</v>
      </c>
    </row>
    <row r="100" spans="1:15" x14ac:dyDescent="0.25">
      <c r="A100" s="356"/>
      <c r="B100" s="201"/>
      <c r="C100" s="201"/>
      <c r="D100" s="201"/>
      <c r="E100" s="201"/>
      <c r="F100" s="356"/>
      <c r="G100" s="356"/>
      <c r="H100" s="356"/>
      <c r="I100" s="627" t="s">
        <v>48</v>
      </c>
      <c r="J100" s="628">
        <v>71500</v>
      </c>
      <c r="K100" s="628">
        <v>48000</v>
      </c>
      <c r="L100" s="628">
        <v>67000</v>
      </c>
      <c r="M100" s="628">
        <v>18100</v>
      </c>
      <c r="N100" s="332">
        <v>204600</v>
      </c>
    </row>
    <row r="101" spans="1:15" x14ac:dyDescent="0.25">
      <c r="A101" s="356"/>
      <c r="B101" s="201"/>
      <c r="C101" s="201"/>
      <c r="D101" s="201"/>
      <c r="E101" s="201"/>
      <c r="F101" s="356"/>
      <c r="G101" s="356"/>
      <c r="H101" s="356"/>
      <c r="I101" s="629" t="s">
        <v>50</v>
      </c>
      <c r="J101" s="630">
        <v>1036234</v>
      </c>
      <c r="K101" s="630">
        <v>563303</v>
      </c>
      <c r="L101" s="630">
        <v>82082.7</v>
      </c>
      <c r="M101" s="631">
        <v>196137.834</v>
      </c>
      <c r="N101" s="336">
        <v>1877757.534</v>
      </c>
    </row>
    <row r="102" spans="1:15" ht="16.5" thickBot="1" x14ac:dyDescent="0.3">
      <c r="A102" s="356"/>
      <c r="B102" s="201"/>
      <c r="C102" s="201"/>
      <c r="D102" s="201"/>
      <c r="E102" s="201"/>
      <c r="F102" s="356"/>
      <c r="G102" s="356"/>
      <c r="H102" s="356"/>
      <c r="I102" s="339" t="s">
        <v>31</v>
      </c>
      <c r="J102" s="340">
        <v>1270234</v>
      </c>
      <c r="K102" s="340">
        <v>680303</v>
      </c>
      <c r="L102" s="340">
        <v>341582.7</v>
      </c>
      <c r="M102" s="341">
        <v>274428.14399999997</v>
      </c>
      <c r="N102" s="342">
        <v>2566547.844</v>
      </c>
    </row>
    <row r="103" spans="1:15" ht="16.5" thickBot="1" x14ac:dyDescent="0.3">
      <c r="A103" s="356"/>
      <c r="B103" s="201"/>
      <c r="C103" s="201"/>
      <c r="D103" s="201"/>
      <c r="E103" s="201"/>
      <c r="F103" s="356"/>
      <c r="G103" s="356"/>
      <c r="H103" s="356"/>
      <c r="I103" s="853" t="s">
        <v>152</v>
      </c>
      <c r="J103" s="854"/>
      <c r="K103" s="854"/>
      <c r="L103" s="854"/>
      <c r="M103" s="854"/>
      <c r="N103" s="854"/>
    </row>
    <row r="104" spans="1:15" ht="32.25" thickBot="1" x14ac:dyDescent="0.3">
      <c r="A104" s="356"/>
      <c r="B104" s="201"/>
      <c r="C104" s="201"/>
      <c r="D104" s="201"/>
      <c r="E104" s="201"/>
      <c r="F104" s="356"/>
      <c r="G104" s="356"/>
      <c r="H104" s="356"/>
      <c r="I104" s="321" t="s">
        <v>41</v>
      </c>
      <c r="J104" s="66" t="s">
        <v>42</v>
      </c>
      <c r="K104" s="67" t="s">
        <v>43</v>
      </c>
      <c r="L104" s="67" t="s">
        <v>44</v>
      </c>
      <c r="M104" s="68" t="s">
        <v>45</v>
      </c>
      <c r="N104" s="322" t="s">
        <v>31</v>
      </c>
    </row>
    <row r="105" spans="1:15" x14ac:dyDescent="0.25">
      <c r="A105" s="356"/>
      <c r="B105" s="201"/>
      <c r="C105" s="201"/>
      <c r="D105" s="201"/>
      <c r="E105" s="201"/>
      <c r="F105" s="356"/>
      <c r="G105" s="356"/>
      <c r="H105" s="356"/>
      <c r="I105" s="346" t="s">
        <v>47</v>
      </c>
      <c r="J105" s="347">
        <v>13</v>
      </c>
      <c r="K105" s="347">
        <v>2</v>
      </c>
      <c r="L105" s="347">
        <v>0</v>
      </c>
      <c r="M105" s="634">
        <v>1</v>
      </c>
      <c r="N105" s="350">
        <v>16</v>
      </c>
    </row>
    <row r="106" spans="1:15" x14ac:dyDescent="0.25">
      <c r="A106" s="201"/>
      <c r="B106" s="201"/>
      <c r="C106" s="201"/>
      <c r="D106" s="201"/>
      <c r="E106" s="201"/>
      <c r="F106" s="201"/>
      <c r="G106" s="201"/>
      <c r="H106" s="201"/>
      <c r="I106" s="351" t="s">
        <v>78</v>
      </c>
      <c r="J106" s="352">
        <v>13</v>
      </c>
      <c r="K106" s="347">
        <v>11</v>
      </c>
      <c r="L106" s="352">
        <v>13</v>
      </c>
      <c r="M106" s="635">
        <v>4</v>
      </c>
      <c r="N106" s="350">
        <v>41</v>
      </c>
    </row>
    <row r="107" spans="1:15" x14ac:dyDescent="0.25">
      <c r="A107" s="201"/>
      <c r="B107" s="201"/>
      <c r="C107" s="201"/>
      <c r="D107" s="201"/>
      <c r="E107" s="201"/>
      <c r="F107" s="356"/>
      <c r="G107" s="201"/>
      <c r="H107" s="201"/>
      <c r="I107" s="333" t="s">
        <v>79</v>
      </c>
      <c r="J107" s="352">
        <v>120</v>
      </c>
      <c r="K107" s="347">
        <v>55</v>
      </c>
      <c r="L107" s="352">
        <v>0</v>
      </c>
      <c r="M107" s="635">
        <v>64</v>
      </c>
      <c r="N107" s="350">
        <v>239</v>
      </c>
    </row>
    <row r="108" spans="1:15" x14ac:dyDescent="0.25">
      <c r="A108" s="201"/>
      <c r="B108" s="201"/>
      <c r="C108" s="201"/>
      <c r="D108" s="201"/>
      <c r="E108" s="201"/>
      <c r="F108" s="361"/>
      <c r="G108" s="201"/>
      <c r="H108" s="201"/>
      <c r="I108" s="333" t="s">
        <v>80</v>
      </c>
      <c r="J108" s="352">
        <v>136</v>
      </c>
      <c r="K108" s="347">
        <v>128</v>
      </c>
      <c r="L108" s="352">
        <v>256</v>
      </c>
      <c r="M108" s="635">
        <v>104</v>
      </c>
      <c r="N108" s="350">
        <v>624</v>
      </c>
    </row>
    <row r="109" spans="1:15" x14ac:dyDescent="0.25">
      <c r="A109" s="201"/>
      <c r="B109" s="201"/>
      <c r="C109" s="201"/>
      <c r="D109" s="201"/>
      <c r="E109" s="201"/>
      <c r="G109" s="201"/>
      <c r="H109" s="201"/>
      <c r="I109" s="333" t="s">
        <v>81</v>
      </c>
      <c r="J109" s="362">
        <v>869194</v>
      </c>
      <c r="K109" s="636">
        <v>329123</v>
      </c>
      <c r="L109" s="362">
        <v>0</v>
      </c>
      <c r="M109" s="637">
        <v>60000</v>
      </c>
      <c r="N109" s="638">
        <v>1258317</v>
      </c>
    </row>
    <row r="110" spans="1:15" x14ac:dyDescent="0.25">
      <c r="A110" s="201"/>
      <c r="B110" s="201"/>
      <c r="C110" s="201"/>
      <c r="D110" s="201"/>
      <c r="E110" s="201"/>
      <c r="G110" s="201"/>
      <c r="H110" s="201"/>
      <c r="I110" s="333" t="s">
        <v>83</v>
      </c>
      <c r="J110" s="364">
        <v>167040</v>
      </c>
      <c r="K110" s="364">
        <v>234180</v>
      </c>
      <c r="L110" s="364">
        <v>82082.7</v>
      </c>
      <c r="M110" s="639">
        <v>136137.834</v>
      </c>
      <c r="N110" s="638">
        <v>619440.53399999999</v>
      </c>
    </row>
    <row r="111" spans="1:15" ht="16.5" thickBot="1" x14ac:dyDescent="0.3">
      <c r="A111" s="201"/>
      <c r="B111" s="201"/>
      <c r="C111" s="201"/>
      <c r="D111" s="201"/>
      <c r="E111" s="201"/>
      <c r="G111" s="201"/>
      <c r="H111" s="201"/>
      <c r="I111" s="339" t="s">
        <v>31</v>
      </c>
      <c r="J111" s="366">
        <v>1036234</v>
      </c>
      <c r="K111" s="340">
        <v>563303</v>
      </c>
      <c r="L111" s="340">
        <v>82082.7</v>
      </c>
      <c r="M111" s="340">
        <v>196137.834</v>
      </c>
      <c r="N111" s="340">
        <v>1877757.534</v>
      </c>
    </row>
    <row r="112" spans="1:15" x14ac:dyDescent="0.25">
      <c r="A112" s="201"/>
      <c r="B112" s="201"/>
      <c r="C112" s="201"/>
      <c r="D112" s="201"/>
      <c r="E112" s="201"/>
      <c r="G112" s="201"/>
      <c r="H112" s="201"/>
      <c r="I112" s="201"/>
      <c r="J112" s="201"/>
      <c r="K112" s="201"/>
      <c r="L112" s="201"/>
      <c r="M112" s="201"/>
      <c r="N112" s="201"/>
      <c r="O112" s="201"/>
    </row>
    <row r="113" spans="1:15" x14ac:dyDescent="0.25">
      <c r="A113" s="201"/>
      <c r="B113" s="201"/>
      <c r="C113" s="201"/>
      <c r="D113" s="201"/>
      <c r="E113" s="201"/>
      <c r="F113" s="317"/>
      <c r="G113" s="201"/>
      <c r="H113" s="201"/>
      <c r="I113" s="201"/>
      <c r="J113" s="201"/>
      <c r="K113" s="201"/>
      <c r="L113" s="201"/>
      <c r="M113" s="201"/>
      <c r="N113" s="201"/>
      <c r="O113" s="201"/>
    </row>
    <row r="114" spans="1:15" x14ac:dyDescent="0.25">
      <c r="A114" s="201"/>
      <c r="B114" s="201"/>
      <c r="C114" s="201"/>
      <c r="D114" s="201"/>
      <c r="E114" s="201"/>
      <c r="F114" s="361"/>
      <c r="G114" s="201"/>
      <c r="H114" s="201"/>
      <c r="I114" s="201"/>
      <c r="J114" s="201"/>
      <c r="K114" s="201"/>
      <c r="L114" s="201"/>
      <c r="M114" s="201"/>
      <c r="N114" s="201"/>
      <c r="O114" s="201"/>
    </row>
    <row r="115" spans="1:15" x14ac:dyDescent="0.25">
      <c r="A115" s="201"/>
      <c r="B115" s="201"/>
      <c r="C115" s="201"/>
      <c r="D115" s="201"/>
      <c r="E115" s="201"/>
      <c r="F115" s="356"/>
      <c r="G115" s="201"/>
      <c r="H115" s="201"/>
      <c r="I115" s="201"/>
      <c r="J115" s="201"/>
      <c r="K115" s="201"/>
      <c r="L115" s="201"/>
      <c r="M115" s="201"/>
      <c r="N115" s="201"/>
      <c r="O115" s="201"/>
    </row>
    <row r="116" spans="1:15" x14ac:dyDescent="0.25">
      <c r="A116" s="201"/>
      <c r="B116" s="201"/>
      <c r="C116" s="201"/>
      <c r="D116" s="201"/>
      <c r="E116" s="201"/>
      <c r="F116" s="201"/>
      <c r="G116" s="201"/>
      <c r="H116" s="201"/>
      <c r="I116" s="201"/>
      <c r="J116" s="201"/>
      <c r="K116" s="201"/>
      <c r="L116" s="201"/>
      <c r="M116" s="201"/>
      <c r="N116" s="201"/>
      <c r="O116" s="201"/>
    </row>
    <row r="117" spans="1:15" x14ac:dyDescent="0.25">
      <c r="A117" s="201"/>
      <c r="B117" s="201"/>
      <c r="C117" s="201"/>
      <c r="D117" s="201"/>
      <c r="E117" s="201"/>
      <c r="F117" s="201"/>
      <c r="G117" s="201"/>
      <c r="H117" s="201"/>
      <c r="I117" s="201"/>
      <c r="J117" s="201"/>
      <c r="K117" s="201"/>
      <c r="L117" s="201"/>
      <c r="M117" s="201"/>
      <c r="N117" s="201"/>
      <c r="O117" s="201"/>
    </row>
    <row r="118" spans="1:15" x14ac:dyDescent="0.25">
      <c r="A118" s="201"/>
      <c r="B118" s="201"/>
      <c r="C118" s="201"/>
      <c r="D118" s="201"/>
      <c r="E118" s="201"/>
      <c r="F118" s="201"/>
      <c r="G118" s="201"/>
      <c r="H118" s="201"/>
      <c r="I118" s="201"/>
      <c r="J118" s="201"/>
      <c r="K118" s="201"/>
      <c r="L118" s="201"/>
      <c r="M118" s="201"/>
      <c r="N118" s="201"/>
      <c r="O118" s="201"/>
    </row>
    <row r="119" spans="1:15" x14ac:dyDescent="0.25">
      <c r="A119" s="201"/>
      <c r="B119" s="201"/>
      <c r="C119" s="201"/>
      <c r="D119" s="201"/>
      <c r="E119" s="201"/>
      <c r="F119" s="201"/>
      <c r="G119" s="201"/>
      <c r="H119" s="201"/>
      <c r="I119" s="201"/>
      <c r="J119" s="201"/>
      <c r="K119" s="201"/>
      <c r="L119" s="201"/>
      <c r="M119" s="201"/>
      <c r="N119" s="201"/>
      <c r="O119" s="201"/>
    </row>
    <row r="120" spans="1:15" x14ac:dyDescent="0.25">
      <c r="A120" s="201"/>
      <c r="B120" s="201"/>
      <c r="C120" s="201"/>
      <c r="D120" s="201"/>
      <c r="E120" s="201"/>
      <c r="F120" s="201"/>
      <c r="G120" s="201"/>
      <c r="H120" s="201"/>
      <c r="I120" s="201"/>
      <c r="J120" s="201"/>
      <c r="K120" s="201"/>
      <c r="L120" s="201"/>
      <c r="M120" s="201"/>
      <c r="N120" s="201"/>
      <c r="O120" s="201"/>
    </row>
    <row r="121" spans="1:15" x14ac:dyDescent="0.25">
      <c r="A121" s="201"/>
      <c r="B121" s="201"/>
      <c r="C121" s="201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</row>
    <row r="122" spans="1:15" x14ac:dyDescent="0.25">
      <c r="A122" s="201"/>
      <c r="B122" s="201"/>
      <c r="C122" s="201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</row>
    <row r="123" spans="1:15" x14ac:dyDescent="0.25">
      <c r="A123" s="201"/>
      <c r="B123" s="201"/>
      <c r="C123" s="201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</row>
    <row r="124" spans="1:15" x14ac:dyDescent="0.25">
      <c r="A124" s="201"/>
      <c r="B124" s="201"/>
      <c r="C124" s="201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</row>
    <row r="125" spans="1:15" x14ac:dyDescent="0.25">
      <c r="A125" s="201"/>
      <c r="B125" s="201"/>
      <c r="C125" s="201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  <c r="O125" s="201"/>
    </row>
    <row r="126" spans="1:15" x14ac:dyDescent="0.25">
      <c r="A126" s="201"/>
      <c r="B126" s="201"/>
      <c r="C126" s="201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  <c r="O126" s="201"/>
    </row>
    <row r="127" spans="1:15" x14ac:dyDescent="0.25">
      <c r="A127" s="201"/>
      <c r="B127" s="201"/>
      <c r="C127" s="201"/>
      <c r="D127" s="201"/>
      <c r="E127" s="201"/>
      <c r="F127" s="201"/>
      <c r="G127" s="201"/>
      <c r="H127" s="201"/>
      <c r="I127" s="201"/>
      <c r="J127" s="201"/>
      <c r="K127" s="201"/>
      <c r="L127" s="201"/>
      <c r="M127" s="201"/>
      <c r="N127" s="201"/>
      <c r="O127" s="201"/>
    </row>
    <row r="128" spans="1:15" x14ac:dyDescent="0.25">
      <c r="A128" s="201"/>
      <c r="B128" s="201"/>
      <c r="C128" s="201"/>
      <c r="D128" s="201"/>
      <c r="E128" s="201"/>
      <c r="F128" s="201"/>
      <c r="G128" s="201"/>
      <c r="H128" s="201"/>
      <c r="I128" s="201"/>
      <c r="J128" s="201"/>
      <c r="K128" s="201"/>
      <c r="L128" s="201"/>
      <c r="M128" s="201"/>
      <c r="N128" s="201"/>
      <c r="O128" s="201"/>
    </row>
    <row r="129" spans="1:15" x14ac:dyDescent="0.25">
      <c r="A129" s="201"/>
      <c r="B129" s="201"/>
      <c r="C129" s="201"/>
      <c r="D129" s="201"/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</row>
    <row r="130" spans="1:15" x14ac:dyDescent="0.25">
      <c r="A130" s="201"/>
      <c r="B130" s="201"/>
      <c r="C130" s="201"/>
      <c r="D130" s="201"/>
      <c r="E130" s="201"/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</row>
    <row r="131" spans="1:15" x14ac:dyDescent="0.25">
      <c r="A131" s="201"/>
      <c r="B131" s="201"/>
      <c r="C131" s="201"/>
      <c r="D131" s="201"/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</row>
    <row r="132" spans="1:15" x14ac:dyDescent="0.25">
      <c r="A132" s="201"/>
      <c r="B132" s="201"/>
      <c r="C132" s="201"/>
      <c r="D132" s="201"/>
      <c r="E132" s="201"/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</row>
    <row r="133" spans="1:15" x14ac:dyDescent="0.25">
      <c r="A133" s="201"/>
      <c r="B133" s="201"/>
      <c r="C133" s="201"/>
      <c r="D133" s="201"/>
      <c r="E133" s="201"/>
      <c r="F133" s="201"/>
      <c r="G133" s="201"/>
      <c r="H133" s="201"/>
      <c r="O133" s="201"/>
    </row>
    <row r="134" spans="1:15" x14ac:dyDescent="0.25">
      <c r="A134" s="201"/>
      <c r="B134" s="201"/>
      <c r="C134" s="201"/>
      <c r="D134" s="201"/>
      <c r="E134" s="201"/>
      <c r="F134" s="201"/>
      <c r="G134" s="201"/>
      <c r="H134" s="201"/>
      <c r="O134" s="201"/>
    </row>
    <row r="135" spans="1:15" x14ac:dyDescent="0.25">
      <c r="A135" s="201"/>
      <c r="F135" s="201"/>
      <c r="G135" s="201"/>
      <c r="H135" s="201"/>
      <c r="O135" s="201"/>
    </row>
    <row r="136" spans="1:15" x14ac:dyDescent="0.25">
      <c r="A136" s="201"/>
      <c r="F136" s="201"/>
      <c r="G136" s="201"/>
      <c r="H136" s="201"/>
      <c r="O136" s="201"/>
    </row>
    <row r="137" spans="1:15" x14ac:dyDescent="0.25">
      <c r="A137" s="201"/>
      <c r="F137" s="201"/>
      <c r="G137" s="201"/>
      <c r="H137" s="201"/>
      <c r="O137" s="201"/>
    </row>
    <row r="138" spans="1:15" x14ac:dyDescent="0.25">
      <c r="A138" s="201"/>
      <c r="F138" s="201"/>
      <c r="G138" s="201"/>
      <c r="H138" s="201"/>
      <c r="O138" s="201"/>
    </row>
    <row r="139" spans="1:15" x14ac:dyDescent="0.25">
      <c r="A139" s="201"/>
      <c r="F139" s="201"/>
      <c r="G139" s="201"/>
      <c r="H139" s="201"/>
      <c r="O139" s="201"/>
    </row>
    <row r="140" spans="1:15" x14ac:dyDescent="0.25">
      <c r="A140" s="201"/>
      <c r="F140" s="201"/>
      <c r="G140" s="201"/>
      <c r="H140" s="201"/>
      <c r="O140" s="201"/>
    </row>
    <row r="141" spans="1:15" x14ac:dyDescent="0.25">
      <c r="A141" s="201"/>
      <c r="F141" s="201"/>
      <c r="G141" s="201"/>
      <c r="H141" s="201"/>
      <c r="O141" s="201"/>
    </row>
    <row r="142" spans="1:15" x14ac:dyDescent="0.25">
      <c r="A142" s="201"/>
      <c r="F142" s="201"/>
      <c r="G142" s="201"/>
      <c r="H142" s="201"/>
      <c r="O142" s="201"/>
    </row>
    <row r="143" spans="1:15" x14ac:dyDescent="0.25">
      <c r="A143" s="201"/>
      <c r="F143" s="201"/>
      <c r="G143" s="201"/>
      <c r="H143" s="201"/>
      <c r="O143" s="201"/>
    </row>
    <row r="144" spans="1:15" x14ac:dyDescent="0.25">
      <c r="A144" s="201"/>
      <c r="F144" s="201"/>
      <c r="G144" s="201"/>
      <c r="H144" s="201"/>
      <c r="O144" s="201"/>
    </row>
    <row r="145" spans="1:15" x14ac:dyDescent="0.25">
      <c r="A145" s="201"/>
      <c r="F145" s="201"/>
      <c r="G145" s="201"/>
      <c r="H145" s="201"/>
      <c r="O145" s="201"/>
    </row>
    <row r="146" spans="1:15" x14ac:dyDescent="0.25">
      <c r="A146" s="201"/>
      <c r="F146" s="201"/>
      <c r="G146" s="201"/>
      <c r="H146" s="201"/>
      <c r="O146" s="201"/>
    </row>
    <row r="147" spans="1:15" x14ac:dyDescent="0.25">
      <c r="A147" s="201"/>
      <c r="F147" s="201"/>
      <c r="G147" s="201"/>
      <c r="H147" s="201"/>
      <c r="O147" s="201"/>
    </row>
    <row r="148" spans="1:15" x14ac:dyDescent="0.25">
      <c r="A148" s="201"/>
      <c r="F148" s="201"/>
      <c r="G148" s="201"/>
      <c r="H148" s="201"/>
      <c r="O148" s="201"/>
    </row>
    <row r="149" spans="1:15" x14ac:dyDescent="0.25">
      <c r="A149" s="201"/>
      <c r="F149" s="201"/>
      <c r="G149" s="201"/>
      <c r="H149" s="201"/>
      <c r="O149" s="201"/>
    </row>
    <row r="150" spans="1:15" x14ac:dyDescent="0.25">
      <c r="A150" s="201"/>
      <c r="F150" s="201"/>
      <c r="G150" s="201"/>
      <c r="H150" s="201"/>
      <c r="O150" s="201"/>
    </row>
  </sheetData>
  <sheetProtection formatCells="0" formatColumns="0" formatRows="0" insertColumns="0" insertRows="0" insertHyperlinks="0" deleteColumns="0" deleteRows="0" sort="0" autoFilter="0" pivotTables="0"/>
  <mergeCells count="117">
    <mergeCell ref="R91:S91"/>
    <mergeCell ref="B90:D90"/>
    <mergeCell ref="E90:G90"/>
    <mergeCell ref="A84:C84"/>
    <mergeCell ref="D84:E84"/>
    <mergeCell ref="F84:G84"/>
    <mergeCell ref="B86:D86"/>
    <mergeCell ref="I87:N87"/>
    <mergeCell ref="B89:D89"/>
    <mergeCell ref="E89:G89"/>
    <mergeCell ref="B73:G74"/>
    <mergeCell ref="A75:C75"/>
    <mergeCell ref="D75:E75"/>
    <mergeCell ref="F75:G75"/>
    <mergeCell ref="A82:C82"/>
    <mergeCell ref="D82:E82"/>
    <mergeCell ref="F82:G82"/>
    <mergeCell ref="A83:C83"/>
    <mergeCell ref="D83:E83"/>
    <mergeCell ref="F83:G83"/>
    <mergeCell ref="A80:C80"/>
    <mergeCell ref="D80:E80"/>
    <mergeCell ref="F80:G80"/>
    <mergeCell ref="A81:C81"/>
    <mergeCell ref="D81:E81"/>
    <mergeCell ref="F81:G81"/>
    <mergeCell ref="I80:N80"/>
    <mergeCell ref="P80:U80"/>
    <mergeCell ref="P74:U74"/>
    <mergeCell ref="I74:N74"/>
    <mergeCell ref="A58:G58"/>
    <mergeCell ref="A61:O61"/>
    <mergeCell ref="A62:A64"/>
    <mergeCell ref="B62:C63"/>
    <mergeCell ref="D62:D64"/>
    <mergeCell ref="E62:E64"/>
    <mergeCell ref="F62:F64"/>
    <mergeCell ref="G62:G64"/>
    <mergeCell ref="H62:I62"/>
    <mergeCell ref="J62:J64"/>
    <mergeCell ref="I73:N73"/>
    <mergeCell ref="A78:C78"/>
    <mergeCell ref="D78:E78"/>
    <mergeCell ref="F78:G78"/>
    <mergeCell ref="A79:C79"/>
    <mergeCell ref="D79:E79"/>
    <mergeCell ref="F79:G79"/>
    <mergeCell ref="F77:G77"/>
    <mergeCell ref="A70:G70"/>
    <mergeCell ref="A71:G71"/>
    <mergeCell ref="O31:O33"/>
    <mergeCell ref="H32:H33"/>
    <mergeCell ref="I32:I33"/>
    <mergeCell ref="B45:F45"/>
    <mergeCell ref="A46:G46"/>
    <mergeCell ref="M62:M64"/>
    <mergeCell ref="N62:N64"/>
    <mergeCell ref="O62:O64"/>
    <mergeCell ref="H63:H64"/>
    <mergeCell ref="I63:I64"/>
    <mergeCell ref="O50:O52"/>
    <mergeCell ref="H51:H52"/>
    <mergeCell ref="I51:I52"/>
    <mergeCell ref="A57:G57"/>
    <mergeCell ref="A47:G47"/>
    <mergeCell ref="A49:M49"/>
    <mergeCell ref="A50:A52"/>
    <mergeCell ref="B50:C51"/>
    <mergeCell ref="D50:D52"/>
    <mergeCell ref="E50:E52"/>
    <mergeCell ref="F50:F52"/>
    <mergeCell ref="G50:G52"/>
    <mergeCell ref="H50:I50"/>
    <mergeCell ref="J50:J52"/>
    <mergeCell ref="A1:O1"/>
    <mergeCell ref="A3:O3"/>
    <mergeCell ref="A4:O4"/>
    <mergeCell ref="A6:O6"/>
    <mergeCell ref="A8:N9"/>
    <mergeCell ref="A11:N11"/>
    <mergeCell ref="N15:N17"/>
    <mergeCell ref="O15:O17"/>
    <mergeCell ref="I16:I17"/>
    <mergeCell ref="A14:O14"/>
    <mergeCell ref="A15:A17"/>
    <mergeCell ref="B15:C16"/>
    <mergeCell ref="D15:D17"/>
    <mergeCell ref="E15:E17"/>
    <mergeCell ref="F15:F17"/>
    <mergeCell ref="G15:G17"/>
    <mergeCell ref="H15:I15"/>
    <mergeCell ref="J15:J17"/>
    <mergeCell ref="M15:M17"/>
    <mergeCell ref="I97:N97"/>
    <mergeCell ref="I103:N103"/>
    <mergeCell ref="A30:M30"/>
    <mergeCell ref="A31:A33"/>
    <mergeCell ref="B31:C32"/>
    <mergeCell ref="B26:F26"/>
    <mergeCell ref="A27:G27"/>
    <mergeCell ref="A28:G28"/>
    <mergeCell ref="D31:D33"/>
    <mergeCell ref="E31:E33"/>
    <mergeCell ref="F31:F33"/>
    <mergeCell ref="G31:G33"/>
    <mergeCell ref="H31:I31"/>
    <mergeCell ref="J31:J33"/>
    <mergeCell ref="M31:M33"/>
    <mergeCell ref="M50:M52"/>
    <mergeCell ref="N50:N52"/>
    <mergeCell ref="N31:N33"/>
    <mergeCell ref="B69:F69"/>
    <mergeCell ref="A76:C76"/>
    <mergeCell ref="D76:E76"/>
    <mergeCell ref="F76:G76"/>
    <mergeCell ref="A77:C77"/>
    <mergeCell ref="D77:E77"/>
  </mergeCells>
  <conditionalFormatting sqref="J76:M78">
    <cfRule type="dataBar" priority="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{0C2D9C55-EAC5-40CB-AF4D-3E4E1CFC09DB}</x14:id>
        </ext>
      </extLst>
    </cfRule>
  </conditionalFormatting>
  <conditionalFormatting sqref="J82:M84">
    <cfRule type="dataBar" priority="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{32F871B9-C9D0-43CF-90A8-616F897B0208}</x14:id>
        </ext>
      </extLst>
    </cfRule>
  </conditionalFormatting>
  <conditionalFormatting sqref="J89:M94">
    <cfRule type="dataBar" priority="2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{FDB53490-9582-4D4D-92FD-E0E6A2E40D4F}</x14:id>
        </ext>
      </extLst>
    </cfRule>
  </conditionalFormatting>
  <conditionalFormatting sqref="J99:M10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{9191BAE4-A366-468A-A682-CAD6179959DB}</x14:id>
        </ext>
      </extLst>
    </cfRule>
  </conditionalFormatting>
  <conditionalFormatting sqref="J105:M110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{1716C36B-5390-4A69-95D4-3E7EBA3DD268}</x14:id>
        </ext>
      </extLst>
    </cfRule>
  </conditionalFormatting>
  <conditionalFormatting sqref="J76:N78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{E752BFB4-5681-4559-BF62-5B7D9F70632E}</x14:id>
        </ext>
      </extLst>
    </cfRule>
    <cfRule type="colorScale" priority="17">
      <colorScale>
        <cfvo type="min"/>
        <cfvo type="max"/>
        <color rgb="FFFCFCFF"/>
        <color rgb="FF63BE7B"/>
      </colorScale>
    </cfRule>
    <cfRule type="top10" dxfId="0" priority="18" rank="5"/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9:N94">
    <cfRule type="colorScale" priority="16">
      <colorScale>
        <cfvo type="min"/>
        <cfvo type="max"/>
        <color rgb="FFFCFCFF"/>
        <color rgb="FF63BE7B"/>
      </colorScale>
    </cfRule>
  </conditionalFormatting>
  <conditionalFormatting sqref="J111:N1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7:K78">
    <cfRule type="dataBar" priority="1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{B790C351-594B-40DB-8B40-062CD5424587}</x14:id>
        </ext>
      </extLst>
    </cfRule>
  </conditionalFormatting>
  <conditionalFormatting sqref="Q76:T78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{2A93203B-F552-4930-9097-E90E0AD2A4DD}</x14:id>
        </ext>
      </extLst>
    </cfRule>
  </conditionalFormatting>
  <conditionalFormatting sqref="Q82:T87 W8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{842A9260-4BBE-4274-8246-43A5E36B0C30}</x14:id>
        </ext>
      </extLst>
    </cfRule>
  </conditionalFormatting>
  <conditionalFormatting sqref="Q88:U88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scale="47" fitToHeight="0" orientation="landscape" r:id="rId1"/>
  <rowBreaks count="4" manualBreakCount="4">
    <brk id="29" max="14" man="1"/>
    <brk id="48" max="16383" man="1"/>
    <brk id="72" max="14" man="1"/>
    <brk id="112" max="14" man="1"/>
  </row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2D9C55-EAC5-40CB-AF4D-3E4E1CFC09D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J76:M78</xm:sqref>
        </x14:conditionalFormatting>
        <x14:conditionalFormatting xmlns:xm="http://schemas.microsoft.com/office/excel/2006/main">
          <x14:cfRule type="dataBar" id="{32F871B9-C9D0-43CF-90A8-616F897B020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J82:M84</xm:sqref>
        </x14:conditionalFormatting>
        <x14:conditionalFormatting xmlns:xm="http://schemas.microsoft.com/office/excel/2006/main">
          <x14:cfRule type="dataBar" id="{FDB53490-9582-4D4D-92FD-E0E6A2E40D4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J89:M94</xm:sqref>
        </x14:conditionalFormatting>
        <x14:conditionalFormatting xmlns:xm="http://schemas.microsoft.com/office/excel/2006/main">
          <x14:cfRule type="dataBar" id="{9191BAE4-A366-468A-A682-CAD6179959D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J99:M101</xm:sqref>
        </x14:conditionalFormatting>
        <x14:conditionalFormatting xmlns:xm="http://schemas.microsoft.com/office/excel/2006/main">
          <x14:cfRule type="dataBar" id="{1716C36B-5390-4A69-95D4-3E7EBA3DD26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J105:M110</xm:sqref>
        </x14:conditionalFormatting>
        <x14:conditionalFormatting xmlns:xm="http://schemas.microsoft.com/office/excel/2006/main">
          <x14:cfRule type="dataBar" id="{E752BFB4-5681-4559-BF62-5B7D9F70632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J76:N78</xm:sqref>
        </x14:conditionalFormatting>
        <x14:conditionalFormatting xmlns:xm="http://schemas.microsoft.com/office/excel/2006/main">
          <x14:cfRule type="dataBar" id="{B790C351-594B-40DB-8B40-062CD542458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K77:K78</xm:sqref>
        </x14:conditionalFormatting>
        <x14:conditionalFormatting xmlns:xm="http://schemas.microsoft.com/office/excel/2006/main">
          <x14:cfRule type="dataBar" id="{2A93203B-F552-4930-9097-E90E0AD2A4D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Q76:T78</xm:sqref>
        </x14:conditionalFormatting>
        <x14:conditionalFormatting xmlns:xm="http://schemas.microsoft.com/office/excel/2006/main">
          <x14:cfRule type="dataBar" id="{842A9260-4BBE-4274-8246-43A5E36B0C3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Q82:T87 W87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OCTUBRE</vt:lpstr>
      <vt:lpstr>NOVIEMBRE</vt:lpstr>
      <vt:lpstr>DICIEMBRE</vt:lpstr>
      <vt:lpstr>OCTUBRE-DICIEMBRE 2024</vt:lpstr>
      <vt:lpstr>DICIEMBRE!Área_de_impresión</vt:lpstr>
      <vt:lpstr>NOVIEMBRE!Área_de_impresión</vt:lpstr>
      <vt:lpstr>OCTUBRE!Área_de_impresión</vt:lpstr>
      <vt:lpstr>'OCTUBRE-DICIEMBRE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Sanquintin</dc:creator>
  <cp:lastModifiedBy>Terina Feliz</cp:lastModifiedBy>
  <cp:lastPrinted>2025-01-14T15:45:07Z</cp:lastPrinted>
  <dcterms:created xsi:type="dcterms:W3CDTF">2024-01-30T17:37:55Z</dcterms:created>
  <dcterms:modified xsi:type="dcterms:W3CDTF">2025-01-14T19:15:49Z</dcterms:modified>
</cp:coreProperties>
</file>